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drawings/drawing5.xml" ContentType="application/vnd.openxmlformats-officedocument.drawing+xml"/>
  <Override PartName="/xl/comments5.xml" ContentType="application/vnd.openxmlformats-officedocument.spreadsheetml.comments+xml"/>
  <Override PartName="/xl/threadedComments/threadedComment1.xml" ContentType="application/vnd.ms-excel.threaded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codeName="ThisWorkbook"/>
  <xr:revisionPtr revIDLastSave="820" documentId="8_{BCAACF67-BEE6-422C-B42E-FA602EBFDBB6}" xr6:coauthVersionLast="47" xr6:coauthVersionMax="47" xr10:uidLastSave="{FD62791F-E607-489C-BCAA-BC9C9534784C}"/>
  <bookViews>
    <workbookView xWindow="5280" yWindow="-16320" windowWidth="29040" windowHeight="15720" tabRatio="867" activeTab="1" xr2:uid="{00000000-000D-0000-FFFF-FFFF00000000}"/>
  </bookViews>
  <sheets>
    <sheet name="基本情報入力シート" sheetId="73" r:id="rId1"/>
    <sheet name="別紙様式2-1 （総括表）" sheetId="105" r:id="rId2"/>
    <sheet name="別紙様式2-2（個票（４、５月））" sheetId="106" r:id="rId3"/>
    <sheet name="別紙様式2-3（個票（６月以降））" sheetId="103" r:id="rId4"/>
    <sheet name="参考（キャリアパス要件概要及びキャリアパス・賃金既定例）" sheetId="89" r:id="rId5"/>
    <sheet name="【参考】数式用" sheetId="81" state="hidden" r:id="rId6"/>
  </sheets>
  <definedNames>
    <definedName name="_xlnm._FilterDatabase" localSheetId="5" hidden="1">【参考】数式用!#REF!</definedName>
    <definedName name="_xlnm._FilterDatabase" localSheetId="2" hidden="1">'別紙様式2-2（個票（４、５月））'!$BF$12:$BF$13</definedName>
    <definedName name="_xlnm._FilterDatabase" localSheetId="3" hidden="1">'別紙様式2-3（個票（６月以降））'!$BI$12:$BI$13</definedName>
    <definedName name="_xlnm.Print_Area" localSheetId="0">基本情報入力シート!$A$1:$AG$54</definedName>
    <definedName name="_xlnm.Print_Area" localSheetId="4">'参考（キャリアパス要件概要及びキャリアパス・賃金既定例）'!$A$1:$J$29</definedName>
    <definedName name="_xlnm.Print_Area" localSheetId="1">'別紙様式2-1 （総括表）'!$A:$AL</definedName>
    <definedName name="_xlnm.Print_Area" localSheetId="2">'別紙様式2-2（個票（４、５月））'!$A$1:$AM$21</definedName>
    <definedName name="_xlnm.Print_Area" localSheetId="3">'別紙様式2-3（個票（６月以降））'!$A$1:$AM$21</definedName>
    <definedName name="_xlnm.Print_Titles" localSheetId="2">'別紙様式2-2（個票（４、５月））'!$11:$12</definedName>
    <definedName name="_xlnm.Print_Titles" localSheetId="3">'別紙様式2-3（個票（６月以降））'!$11:$12</definedName>
    <definedName name="キャリアパス要件Ⅰ・Ⅱ_加算対象">【参考】数式用!$BF$11:$BF$14</definedName>
    <definedName name="キャリアパス要件Ⅰ・Ⅱ_加算対象外">【参考】数式用!$BF$16:$BF$19</definedName>
    <definedName name="サービスコード">#REF!</definedName>
    <definedName name="サービス区分">#REF!</definedName>
    <definedName name="愛知県">【参考】数式用!$W$993:$W$1046</definedName>
    <definedName name="愛媛県">【参考】数式用!$W$1422:$W$1441</definedName>
    <definedName name="医療型児童発達支援R8">【参考】数式用!$AZ$26:$BC$26</definedName>
    <definedName name="医療型児童発達支援V">【参考】数式用!$AT$28:$AU$28</definedName>
    <definedName name="医療型障害児入所施設R8">【参考】数式用!$AZ$31:$BC$31</definedName>
    <definedName name="医療型障害児入所施設V">【参考】数式用!$AT$33:$AU$33</definedName>
    <definedName name="茨城県">【参考】数式用!$W$415:$W$458</definedName>
    <definedName name="岡山県">【参考】数式用!$W$1312:$W$1338</definedName>
    <definedName name="沖縄県">【参考】数式用!$W$1709:$W$1749</definedName>
    <definedName name="加算対象">【参考】数式用!$Q$4:$Q$9</definedName>
    <definedName name="加算対象外">【参考】数式用!$R$4:$R$9</definedName>
    <definedName name="介護医療院サービスⅤ">【参考】数式用!$AT$38:$AV$38</definedName>
    <definedName name="介護医療院サービスR8">【参考】数式用!$AZ$38:$BD$38</definedName>
    <definedName name="介護予防ケアマネジメントR8">【参考】数式用!$AZ$53:$BC$53</definedName>
    <definedName name="介護予防支援R8">【参考】数式用!$AZ$59:$BC$59</definedName>
    <definedName name="介護予防小規模多機能型居宅介護_短期利用型_Ⅴ">【参考】数式用!$AT$22:$AV$22</definedName>
    <definedName name="介護予防小規模多機能型居宅介護_短期利用型_R8">【参考】数式用!$AZ$22:$BD$22</definedName>
    <definedName name="介護予防小規模多機能型居宅介護Ⅴ">【参考】数式用!$AT$21:$AV$21</definedName>
    <definedName name="介護予防小規模多機能型居宅介護R8">【参考】数式用!$AZ$21:$BD$21</definedName>
    <definedName name="介護予防短期入所生活介護Ⅴ">【参考】数式用!$AT$32:$AV$32</definedName>
    <definedName name="介護予防短期入所生活介護R8">【参考】数式用!$AZ$32:$BD$32</definedName>
    <definedName name="介護予防短期入所療養介護__病院等_老健以外__Ⅴ">【参考】数式用!$AT$37:$AV$37</definedName>
    <definedName name="介護予防短期入所療養介護__病院等_老健以外__R8">【参考】数式用!$AZ$37:$BD$37</definedName>
    <definedName name="介護予防短期入所療養介護_介護医療院_Ⅴ">【参考】数式用!$AT$40:$AV$40</definedName>
    <definedName name="介護予防短期入所療養介護_介護医療院_R8">【参考】数式用!$AZ$40:$BD$40</definedName>
    <definedName name="介護予防短期入所療養介護_介護老人保健施設_Ⅴ">【参考】数式用!$AT$35:$AV$35</definedName>
    <definedName name="介護予防短期入所療養介護_介護老人保健施設_R8">【参考】数式用!$AZ$35:$BD$35</definedName>
    <definedName name="介護予防通所リハビリテーションⅤ">【参考】数式用!$AT$11:$AV$11</definedName>
    <definedName name="介護予防通所リハビリテーションR8">【参考】数式用!$AZ$11:$BD$11</definedName>
    <definedName name="介護予防特定施設入居者生活介護Ⅴ">【参考】数式用!$AT$14:$AV$14</definedName>
    <definedName name="介護予防特定施設入居者生活介護R8">【参考】数式用!$AZ$14:$BD$14</definedName>
    <definedName name="介護予防認知症対応型共同生活介護_短期利用型_Ⅴ">【参考】数式用!$AT$28:$AV$28</definedName>
    <definedName name="介護予防認知症対応型共同生活介護_短期利用型_R8">【参考】数式用!$AZ$28:$BD$28</definedName>
    <definedName name="介護予防認知症対応型共同生活介護Ⅴ">【参考】数式用!$AT$27:$AV$27</definedName>
    <definedName name="介護予防認知症対応型共同生活介護R8">【参考】数式用!$AZ$27:$BD$27</definedName>
    <definedName name="介護予防認知症対応型通所介護Ⅴ">【参考】数式用!$AT$18:$AV$18</definedName>
    <definedName name="介護予防認知症対応型通所介護R8">【参考】数式用!$AZ$18:$BD$18</definedName>
    <definedName name="介護予防訪問リハビリテーションR8">【参考】数式用!$AZ$57:$BC$57</definedName>
    <definedName name="介護予防訪問看護R8">【参考】数式用!$AZ$55:$BC$55</definedName>
    <definedName name="介護予防訪問入浴介護Ⅴ">【参考】数式用!$AT$7:$AV$7</definedName>
    <definedName name="介護予防訪問入浴介護R8">【参考】数式用!$AZ$7:$BD$7</definedName>
    <definedName name="介護老人福祉施設サービスⅤ">【参考】数式用!$AT$29:$AV$29</definedName>
    <definedName name="介護老人福祉施設サービスR8">【参考】数式用!$AZ$29:$BD$29</definedName>
    <definedName name="介護老人保健施設サービスⅤ">【参考】数式用!$AT$33:$AV$33</definedName>
    <definedName name="介護老人保健施設サービスR8">【参考】数式用!$AZ$33:$BD$33</definedName>
    <definedName name="岩手県">【参考】数式用!$W$228:$W$260</definedName>
    <definedName name="岐阜県">【参考】数式用!$W$916:$W$957</definedName>
    <definedName name="宮崎県">【参考】数式用!$W$1640:$W$1665</definedName>
    <definedName name="宮城県">【参考】数式用!$W$261:$W$295</definedName>
    <definedName name="居宅介護Ⅴ">【参考】数式用!$AT$5:$AU$5</definedName>
    <definedName name="居宅介護R8">【参考】数式用!$AZ$3:$BC$3</definedName>
    <definedName name="居宅介護支援R8">【参考】数式用!$AZ$58:$BC$58</definedName>
    <definedName name="居宅訪問型児童発達支援R8">【参考】数式用!$AZ$28:$BC$28</definedName>
    <definedName name="居宅訪問型児童発達支援V">【参考】数式用!$AT$30:$AU$30</definedName>
    <definedName name="京都府">【参考】数式用!$W$1095:$W$1120</definedName>
    <definedName name="共同生活援助_介護サービス包括型_R8">【参考】数式用!$AZ$22:$BC$22</definedName>
    <definedName name="共同生活援助_介護サービス包括型_V">【参考】数式用!$AT$24:$AU$24</definedName>
    <definedName name="共同生活援助_外部サービス利用型_R8">【参考】数式用!$AZ$24:$BC$24</definedName>
    <definedName name="共同生活援助_外部サービス利用型_V">【参考】数式用!$AT$26:$AU$26</definedName>
    <definedName name="共同生活援助_日中サービス支援型_R8">【参考】数式用!$AZ$23:$BC$23</definedName>
    <definedName name="共同生活援助_日中サービス支援型_V">【参考】数式用!$AT$25:$AU$25</definedName>
    <definedName name="熊本県">【参考】数式用!$W$1577:$W$1621</definedName>
    <definedName name="群馬県">【参考】数式用!$W$484:$W$518</definedName>
    <definedName name="計画相談支援R8">【参考】数式用!$AZ$38:$BE$38</definedName>
    <definedName name="計算用">#REF!</definedName>
    <definedName name="広島県">【参考】数式用!$W$1339:$W$1361</definedName>
    <definedName name="行動援護R8">【参考】数式用!$AZ$6:$BC$6</definedName>
    <definedName name="行動援護V">【参考】数式用!$AT$8:$AU$8</definedName>
    <definedName name="香川県">【参考】数式用!$W$1405:$W$1421</definedName>
    <definedName name="高知県">【参考】数式用!$W$1442:$W$1475</definedName>
    <definedName name="佐賀県">【参考】数式用!$W$1536:$W$1555</definedName>
    <definedName name="埼玉県">【参考】数式用!$W$519:$W$581</definedName>
    <definedName name="三重県">【参考】数式用!$W$1047:$W$1075</definedName>
    <definedName name="山形県">【参考】数式用!$W$321:$W$355</definedName>
    <definedName name="山口県">【参考】数式用!$W$1362:$W$1380</definedName>
    <definedName name="山梨県">【参考】数式用!$W$812:$W$838</definedName>
    <definedName name="施設入所支援R8">【参考】数式用!$AZ$9:$BC$9</definedName>
    <definedName name="施設入所支援V">【参考】数式用!$AT$11:$AU$11</definedName>
    <definedName name="児童発達支援R8">【参考】数式用!$AZ$25:$BC$25</definedName>
    <definedName name="児童発達支援V">【参考】数式用!$AT$27:$AU$27</definedName>
    <definedName name="滋賀県">【参考】数式用!$W$1076:$W$1094</definedName>
    <definedName name="自立訓練_機能訓練_R8">【参考】数式用!$AZ$12:$BC$12</definedName>
    <definedName name="自立訓練_機能訓練_V">【参考】数式用!$AT$14:$AU$14</definedName>
    <definedName name="自立訓練_生活訓練_R8">【参考】数式用!$AZ$13:$BC$13</definedName>
    <definedName name="自立訓練_生活訓練_V">【参考】数式用!$AT$15:$AU$15</definedName>
    <definedName name="自立生活援助R8">【参考】数式用!$AZ$21:$BC$21</definedName>
    <definedName name="自立生活援助V">【参考】数式用!$AT$23:$AU$23</definedName>
    <definedName name="鹿児島県">【参考】数式用!$W$1666:$W$1708</definedName>
    <definedName name="就労移行支援_養成施設_R8">【参考】数式用!$AZ$17:$BC$17</definedName>
    <definedName name="就労移行支援_養成施設_V">【参考】数式用!$AT$19:$AU$19</definedName>
    <definedName name="就労移行支援R8">【参考】数式用!$AZ$16:$BC$16</definedName>
    <definedName name="就労移行支援V">【参考】数式用!$AT$18:$AU$18</definedName>
    <definedName name="就労継続支援Ａ型R8">【参考】数式用!$AZ$18:$BC$18</definedName>
    <definedName name="就労継続支援Ａ型V">【参考】数式用!$AT$20:$AU$20</definedName>
    <definedName name="就労継続支援Ｂ型R8">【参考】数式用!$AZ$19:$BC$19</definedName>
    <definedName name="就労継続支援Ｂ型V">【参考】数式用!$AT$21:$AU$21</definedName>
    <definedName name="就労選択支援R8">【参考】数式用!$AZ$15:$BC$15</definedName>
    <definedName name="就労選択支援V">【参考】数式用!$AT$17:$AU$17</definedName>
    <definedName name="就労定着支援R8">【参考】数式用!$AZ$20:$BC$20</definedName>
    <definedName name="就労定着支援V">【参考】数式用!$AT$22:$AU$22</definedName>
    <definedName name="秋田県">【参考】数式用!$W$296:$W$320</definedName>
    <definedName name="重度障害者等包括支援R8">【参考】数式用!$AZ$7:$BC$7</definedName>
    <definedName name="重度障害者等包括支援V">【参考】数式用!$AT$9:$AU$9</definedName>
    <definedName name="重度訪問介護R8">【参考】数式用!$AZ$4:$BC$4</definedName>
    <definedName name="重度訪問介護V">【参考】数式用!$AT$6:$AU$6</definedName>
    <definedName name="宿泊型自立訓練R8">【参考】数式用!$AZ$14:$BC$14</definedName>
    <definedName name="宿泊型自立訓練V">【参考】数式用!$AT$16:$AU$16</definedName>
    <definedName name="小規模多機能型居宅介護_短期利用型_Ⅴ">【参考】数式用!$AT$20:$AV$20</definedName>
    <definedName name="小規模多機能型居宅介護_短期利用型_R8">【参考】数式用!$AZ$20:$BD$20</definedName>
    <definedName name="小規模多機能型居宅介護Ⅴ">【参考】数式用!$AT$19:$AV$19</definedName>
    <definedName name="小規模多機能型居宅介護R8">【参考】数式用!$AZ$19:$BD$19</definedName>
    <definedName name="障害児相談支援R8">【参考】数式用!$AZ$41:$BE$41</definedName>
    <definedName name="障害者支援施設_自立訓練_機能訓練_R8">【参考】数式用!$AZ$33:$BC$33</definedName>
    <definedName name="障害者支援施設_自立訓練_機能訓練_V">【参考】数式用!$AT$35:$AU$35</definedName>
    <definedName name="障害者支援施設_自立訓練_生活訓練_R8">【参考】数式用!$AZ$34:$BC$34</definedName>
    <definedName name="障害者支援施設_自立訓練_生活訓練_V">【参考】数式用!$AT$36:$AU$36</definedName>
    <definedName name="障害者支援施設_就労移行支援R8">【参考】数式用!$AZ$35:$BC$35</definedName>
    <definedName name="障害者支援施設_就労移行支援V">【参考】数式用!$AT$37:$AU$37</definedName>
    <definedName name="障害者支援施設_就労継続支援Ａ型R8">【参考】数式用!$AZ$36:$BC$36</definedName>
    <definedName name="障害者支援施設_就労継続支援Ａ型V">【参考】数式用!$AT$38:$AU$38</definedName>
    <definedName name="障害者支援施設_就労継続支援Ｂ型R8">【参考】数式用!$AZ$37:$BC$37</definedName>
    <definedName name="障害者支援施設_就労継続支援Ｂ型V">【参考】数式用!$AT$39:$AU$39</definedName>
    <definedName name="障害者支援施設_生活介護R8">【参考】数式用!$AZ$32:$BC$32</definedName>
    <definedName name="障害者支援施設_生活介護V">【参考】数式用!$AT$34:$AU$34</definedName>
    <definedName name="新潟県">【参考】数式用!$W$731:$W$760</definedName>
    <definedName name="神奈川県">【参考】数式用!$W$698:$W$730</definedName>
    <definedName name="生活介護R8">【参考】数式用!$AZ$8:$BC$8</definedName>
    <definedName name="生活介護V">【参考】数式用!$AT$10:$AU$10</definedName>
    <definedName name="青森県">【参考】数式用!$W$188:$W$227</definedName>
    <definedName name="静岡県">【参考】数式用!$W$958:$W$992</definedName>
    <definedName name="石川県">【参考】数式用!$W$776:$W$794</definedName>
    <definedName name="千葉県">【参考】数式用!$W$582:$W$635</definedName>
    <definedName name="大阪府">【参考】数式用!$W$1121:$W$1163</definedName>
    <definedName name="大分県">【参考】数式用!$W$1622:$W$1639</definedName>
    <definedName name="短期入所R8">【参考】数式用!$AZ$10:$BC$10</definedName>
    <definedName name="短期入所V">【参考】数式用!$AT$12:$AU$12</definedName>
    <definedName name="短期入所生活介護Ⅴ">【参考】数式用!$AT$31:$AV$31</definedName>
    <definedName name="短期入所生活介護R8">【参考】数式用!$AZ$31:$BD$31</definedName>
    <definedName name="短期入所療養介護__病院等_老健以外__Ⅴ">【参考】数式用!$AT$36:$AV$36</definedName>
    <definedName name="短期入所療養介護__病院等_老健以外__R8">【参考】数式用!$AZ$36:$BD$36</definedName>
    <definedName name="短期入所療養介護_介護医療院_Ⅴ">【参考】数式用!$AT$39:$AV$39</definedName>
    <definedName name="短期入所療養介護_介護医療院_R8">【参考】数式用!$AZ$39:$BD$39</definedName>
    <definedName name="短期入所療養介護_介護老人保健施設_Ⅴ">【参考】数式用!$AT$34:$AV$34</definedName>
    <definedName name="短期入所療養介護_介護老人保健施設_R8">【参考】数式用!$AZ$34:$BD$34</definedName>
    <definedName name="地域相談支援_地域移行支援_R8">【参考】数式用!$AZ$39:$BE$39</definedName>
    <definedName name="地域相談支援_地域定着支援_R8">【参考】数式用!$AZ$40:$BE$40</definedName>
    <definedName name="地域密着型介護老人福祉施設Ⅴ">【参考】数式用!$AT$30:$AV$30</definedName>
    <definedName name="地域密着型介護老人福祉施設R8">【参考】数式用!$AZ$30:$BD$30</definedName>
    <definedName name="地域密着型通所介護Ⅴ">【参考】数式用!$AT$9:$AV$9</definedName>
    <definedName name="地域密着型通所介護R8">【参考】数式用!$AZ$9:$BD$9</definedName>
    <definedName name="地域密着型特定施設入居者生活介護_短期利用型_Ⅴ">【参考】数式用!$AT$16:$AV$16</definedName>
    <definedName name="地域密着型特定施設入居者生活介護_短期利用型_R8">【参考】数式用!$AZ$16:$BD$16</definedName>
    <definedName name="地域密着型特定施設入居者生活介護Ⅴ">【参考】数式用!$AT$15:$AV$15</definedName>
    <definedName name="地域密着型特定施設入居者生活介護R8">【参考】数式用!$AZ$15:$BD$15</definedName>
    <definedName name="長崎県">【参考】数式用!$W$1556:$W$1576</definedName>
    <definedName name="長野県">【参考】数式用!$W$839:$W$915</definedName>
    <definedName name="鳥取県">【参考】数式用!$W$1274:$W$1292</definedName>
    <definedName name="通所リハビリテーションⅤ">【参考】数式用!$AT$10:$AV$10</definedName>
    <definedName name="通所リハビリテーションR8">【参考】数式用!$AZ$10:$BD$10</definedName>
    <definedName name="通所介護Ⅴ">【参考】数式用!$AT$8:$AV$8</definedName>
    <definedName name="通所介護R8">【参考】数式用!$AZ$8:$BD$8</definedName>
    <definedName name="通所型サービス_独自_Ⅴ">【参考】数式用!$AT$44:$AV$44</definedName>
    <definedName name="通所型サービス_独自_R8">【参考】数式用!$AZ$44:$BD$44</definedName>
    <definedName name="通所型サービス_独自_定額_Ⅴ">【参考】数式用!$AT$46:$AV$46</definedName>
    <definedName name="通所型サービス_独自_定額_R8">【参考】数式用!$AZ$46:$BD$46</definedName>
    <definedName name="通所型サービス_独自_定率_Ⅴ">【参考】数式用!$AT$45:$AV$45</definedName>
    <definedName name="通所型サービス_独自_定率_R8">【参考】数式用!$AZ$45:$BD$45</definedName>
    <definedName name="定期巡回・随時対応型訪問介護看護Ⅴ">【参考】数式用!$AT$5:$AV$5</definedName>
    <definedName name="定期巡回・随時対応型訪問介護看護R8">【参考】数式用!$AZ$5:$BD$5</definedName>
    <definedName name="都道府県">【参考】数式用!$AD$3:$AD$49</definedName>
    <definedName name="島根県">【参考】数式用!$W$1293:$W$1311</definedName>
    <definedName name="東京都">【参考】数式用!$W$636:$W$697</definedName>
    <definedName name="同行援護R8">【参考】数式用!$AZ$5:$BC$5</definedName>
    <definedName name="同行援護V">【参考】数式用!$AT$7:$AU$7</definedName>
    <definedName name="徳島県">【参考】数式用!$W$1381:$W$1404</definedName>
    <definedName name="特定施設入居者生活介護_短期利用型_Ⅴ">【参考】数式用!$AT$13:$AV$13</definedName>
    <definedName name="特定施設入居者生活介護_短期利用型_R8">【参考】数式用!$AZ$13:$BD$13</definedName>
    <definedName name="特定施設入居者生活介護Ⅴ">【参考】数式用!$AT$12:$AV$12</definedName>
    <definedName name="特定施設入居者生活介護R8">【参考】数式用!$AZ$12:$BD$12</definedName>
    <definedName name="栃木県">【参考】数式用!$W$459:$W$483</definedName>
    <definedName name="奈良県">【参考】数式用!$W$1205:$W$1243</definedName>
    <definedName name="認知症対応型共同生活介護_短期利用型_Ⅴ">【参考】数式用!$AT$26:$AV$26</definedName>
    <definedName name="認知症対応型共同生活介護_短期利用型_R8">【参考】数式用!$AZ$26:$BD$26</definedName>
    <definedName name="認知症対応型共同生活介護Ⅴ">【参考】数式用!$AT$25:$AV$25</definedName>
    <definedName name="認知症対応型共同生活介護R8">【参考】数式用!$AZ$25:$BD$25</definedName>
    <definedName name="認知症対応型通所介護Ⅴ">【参考】数式用!$AT$17:$AV$17</definedName>
    <definedName name="認知症対応型通所介護R8">【参考】数式用!$AZ$17:$BD$17</definedName>
    <definedName name="表２サービスコード">#REF!</definedName>
    <definedName name="表７_キャリアパス要件Ⅳ_規定人数集計対象外リスト">#REF!</definedName>
    <definedName name="富山県">【参考】数式用!$W$761:$W$775</definedName>
    <definedName name="福井県">【参考】数式用!$W$795:$W$811</definedName>
    <definedName name="福岡県">【参考】数式用!$W$1476:$W$1535</definedName>
    <definedName name="福祉型障害児入所施設R8">【参考】数式用!$AZ$30:$BC$30</definedName>
    <definedName name="福祉型障害児入所施設V">【参考】数式用!$AT$32:$AU$32</definedName>
    <definedName name="福島県">【参考】数式用!$W$356:$W$414</definedName>
    <definedName name="複合型サービス_看護小規模多機能型居宅介護_Ⅴ">【参考】数式用!$AT$23:$AV$23</definedName>
    <definedName name="複合型サービス_看護小規模多機能型居宅介護_R8">【参考】数式用!$AZ$23:$BD$23</definedName>
    <definedName name="複合型サービス_看護小規模多機能型居宅介護・短期利用型_Ⅴ">【参考】数式用!$AT$24:$AV$24</definedName>
    <definedName name="複合型サービス_看護小規模多機能型居宅介護・短期利用型_R8">【参考】数式用!$AZ$24:$BD$24</definedName>
    <definedName name="兵庫県">【参考】数式用!$W$1164:$W$1204</definedName>
    <definedName name="保育所等訪問支援R8">【参考】数式用!$AZ$29:$BC$29</definedName>
    <definedName name="保育所等訪問支援V">【参考】数式用!$AT$31:$AU$31</definedName>
    <definedName name="放課後等デイサービスR8">【参考】数式用!$AZ$27:$BC$27</definedName>
    <definedName name="放課後等デイサービスV">【参考】数式用!$AT$29:$AU$29</definedName>
    <definedName name="訪問リハビリテーションR8">【参考】数式用!$AZ$56:$BC$56</definedName>
    <definedName name="訪問介護">#REF!</definedName>
    <definedName name="訪問介護Ⅴ">【参考】数式用!$AT$3:$AV$3</definedName>
    <definedName name="訪問介護R8">【参考】数式用!$AZ$3:$BD$3</definedName>
    <definedName name="訪問看護R8">【参考】数式用!$AZ$54:$BC$54</definedName>
    <definedName name="訪問型サービス_独自_Ⅴ">【参考】数式用!$AT$41:$AV$41</definedName>
    <definedName name="訪問型サービス_独自_R8">【参考】数式用!$AZ$41:$BD$41</definedName>
    <definedName name="訪問型サービス_独自_定額_Ⅴ">【参考】数式用!$AT$43:$AV$43</definedName>
    <definedName name="訪問型サービス_独自_定額_R8">【参考】数式用!$AZ$43:$BD$43</definedName>
    <definedName name="訪問型サービス_独自_定率_Ⅴ">【参考】数式用!$AT$42:$AV$42</definedName>
    <definedName name="訪問型サービス_独自_定率_R8">【参考】数式用!$AZ$42:$BD$42</definedName>
    <definedName name="訪問入浴介護Ⅴ">【参考】数式用!$AT$6:$AV$6</definedName>
    <definedName name="訪問入浴介護R8">【参考】数式用!$AZ$6:$BD$6</definedName>
    <definedName name="北海道">【参考】数式用!$W$3:$W$1749</definedName>
    <definedName name="夜間対応型訪問介護Ⅴ">【参考】数式用!$AT$4:$AV$4</definedName>
    <definedName name="夜間対応型訪問介護R8">【参考】数式用!$AZ$4:$BD$4</definedName>
    <definedName name="療養介護R8">【参考】数式用!$AZ$11:$BC$11</definedName>
    <definedName name="療養介護V">【参考】数式用!$AT$13:$AU$13</definedName>
    <definedName name="和歌山県">【参考】数式用!$W$1244:$W$1273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R14" i="103" l="1"/>
  <c r="BR15" i="103"/>
  <c r="BR16" i="103"/>
  <c r="BR17" i="103"/>
  <c r="BR18" i="103"/>
  <c r="BR19" i="103"/>
  <c r="BR20" i="103"/>
  <c r="BR21" i="103"/>
  <c r="BR22" i="103"/>
  <c r="BR23" i="103"/>
  <c r="BR24" i="103"/>
  <c r="BR25" i="103"/>
  <c r="BR26" i="103"/>
  <c r="BR27" i="103"/>
  <c r="BR28" i="103"/>
  <c r="BR29" i="103"/>
  <c r="BR30" i="103"/>
  <c r="BR31" i="103"/>
  <c r="BR32" i="103"/>
  <c r="BR33" i="103"/>
  <c r="BR34" i="103"/>
  <c r="BR35" i="103"/>
  <c r="BR36" i="103"/>
  <c r="BR37" i="103"/>
  <c r="BR38" i="103"/>
  <c r="BR39" i="103"/>
  <c r="BR40" i="103"/>
  <c r="BR41" i="103"/>
  <c r="BR42" i="103"/>
  <c r="BR43" i="103"/>
  <c r="BR44" i="103"/>
  <c r="BR45" i="103"/>
  <c r="BR46" i="103"/>
  <c r="BR47" i="103"/>
  <c r="BR48" i="103"/>
  <c r="BR49" i="103"/>
  <c r="BR50" i="103"/>
  <c r="BR51" i="103"/>
  <c r="BR52" i="103"/>
  <c r="BR53" i="103"/>
  <c r="BR54" i="103"/>
  <c r="BR55" i="103"/>
  <c r="BR56" i="103"/>
  <c r="BR57" i="103"/>
  <c r="BR58" i="103"/>
  <c r="BR59" i="103"/>
  <c r="BR60" i="103"/>
  <c r="BR61" i="103"/>
  <c r="BR62" i="103"/>
  <c r="BR63" i="103"/>
  <c r="BR64" i="103"/>
  <c r="BR65" i="103"/>
  <c r="BR66" i="103"/>
  <c r="BR67" i="103"/>
  <c r="BR68" i="103"/>
  <c r="BR69" i="103"/>
  <c r="BR70" i="103"/>
  <c r="BR71" i="103"/>
  <c r="BR72" i="103"/>
  <c r="BR73" i="103"/>
  <c r="BR74" i="103"/>
  <c r="BR75" i="103"/>
  <c r="BR76" i="103"/>
  <c r="BR77" i="103"/>
  <c r="BR78" i="103"/>
  <c r="BR79" i="103"/>
  <c r="BR80" i="103"/>
  <c r="BR81" i="103"/>
  <c r="BR82" i="103"/>
  <c r="BR83" i="103"/>
  <c r="BR84" i="103"/>
  <c r="BR85" i="103"/>
  <c r="BR86" i="103"/>
  <c r="BR87" i="103"/>
  <c r="BR88" i="103"/>
  <c r="BR89" i="103"/>
  <c r="BR90" i="103"/>
  <c r="BR91" i="103"/>
  <c r="BR92" i="103"/>
  <c r="BR93" i="103"/>
  <c r="BR94" i="103"/>
  <c r="BR95" i="103"/>
  <c r="BR96" i="103"/>
  <c r="BR97" i="103"/>
  <c r="BR98" i="103"/>
  <c r="BR99" i="103"/>
  <c r="BR100" i="103"/>
  <c r="BR101" i="103"/>
  <c r="BR102" i="103"/>
  <c r="BR103" i="103"/>
  <c r="BR104" i="103"/>
  <c r="BR105" i="103"/>
  <c r="BR106" i="103"/>
  <c r="BR107" i="103"/>
  <c r="BR108" i="103"/>
  <c r="BR109" i="103"/>
  <c r="BR110" i="103"/>
  <c r="BR111" i="103"/>
  <c r="BR112" i="103"/>
  <c r="BR113" i="103"/>
  <c r="BR13" i="103"/>
  <c r="AK145" i="105"/>
  <c r="AI58" i="105"/>
  <c r="AI10" i="106" l="1"/>
  <c r="AI10" i="103"/>
  <c r="AK61" i="105"/>
  <c r="BA84" i="105"/>
  <c r="BA80" i="105"/>
  <c r="BA76" i="105"/>
  <c r="BF14" i="103"/>
  <c r="BF15" i="103"/>
  <c r="BF16" i="103"/>
  <c r="BF17" i="103"/>
  <c r="BF18" i="103"/>
  <c r="BF19" i="103"/>
  <c r="BF20" i="103"/>
  <c r="BF21" i="103"/>
  <c r="BF22" i="103"/>
  <c r="BF23" i="103"/>
  <c r="BF24" i="103"/>
  <c r="BF25" i="103"/>
  <c r="BF26" i="103"/>
  <c r="BF27" i="103"/>
  <c r="BF28" i="103"/>
  <c r="BF29" i="103"/>
  <c r="BF30" i="103"/>
  <c r="BF31" i="103"/>
  <c r="BF32" i="103"/>
  <c r="BF33" i="103"/>
  <c r="BF34" i="103"/>
  <c r="BF35" i="103"/>
  <c r="BF36" i="103"/>
  <c r="BF37" i="103"/>
  <c r="BF38" i="103"/>
  <c r="BF39" i="103"/>
  <c r="BF40" i="103"/>
  <c r="BF41" i="103"/>
  <c r="BF42" i="103"/>
  <c r="BF43" i="103"/>
  <c r="BF44" i="103"/>
  <c r="BF45" i="103"/>
  <c r="BF46" i="103"/>
  <c r="BF47" i="103"/>
  <c r="BF48" i="103"/>
  <c r="BF49" i="103"/>
  <c r="BF50" i="103"/>
  <c r="BF51" i="103"/>
  <c r="BF52" i="103"/>
  <c r="BF53" i="103"/>
  <c r="BF54" i="103"/>
  <c r="BF55" i="103"/>
  <c r="BF56" i="103"/>
  <c r="BF57" i="103"/>
  <c r="BF58" i="103"/>
  <c r="BF59" i="103"/>
  <c r="BF60" i="103"/>
  <c r="BF61" i="103"/>
  <c r="BF62" i="103"/>
  <c r="BF63" i="103"/>
  <c r="BF64" i="103"/>
  <c r="BF65" i="103"/>
  <c r="BF66" i="103"/>
  <c r="BF67" i="103"/>
  <c r="BF68" i="103"/>
  <c r="BF69" i="103"/>
  <c r="BF70" i="103"/>
  <c r="BF71" i="103"/>
  <c r="BF72" i="103"/>
  <c r="BF73" i="103"/>
  <c r="BF74" i="103"/>
  <c r="BF75" i="103"/>
  <c r="BF76" i="103"/>
  <c r="BF77" i="103"/>
  <c r="BF78" i="103"/>
  <c r="BF79" i="103"/>
  <c r="BF80" i="103"/>
  <c r="BF81" i="103"/>
  <c r="BF82" i="103"/>
  <c r="BF83" i="103"/>
  <c r="BF84" i="103"/>
  <c r="BF85" i="103"/>
  <c r="BF86" i="103"/>
  <c r="BF87" i="103"/>
  <c r="BF88" i="103"/>
  <c r="BF89" i="103"/>
  <c r="BF90" i="103"/>
  <c r="BF91" i="103"/>
  <c r="BF92" i="103"/>
  <c r="BF93" i="103"/>
  <c r="BF94" i="103"/>
  <c r="BF95" i="103"/>
  <c r="BF96" i="103"/>
  <c r="BF97" i="103"/>
  <c r="BF98" i="103"/>
  <c r="BF99" i="103"/>
  <c r="BF100" i="103"/>
  <c r="BF101" i="103"/>
  <c r="BF102" i="103"/>
  <c r="BF103" i="103"/>
  <c r="BF104" i="103"/>
  <c r="BF105" i="103"/>
  <c r="BF106" i="103"/>
  <c r="BF107" i="103"/>
  <c r="BF108" i="103"/>
  <c r="BF109" i="103"/>
  <c r="BF110" i="103"/>
  <c r="BF111" i="103"/>
  <c r="BF112" i="103"/>
  <c r="BF113" i="103"/>
  <c r="BF13" i="103"/>
  <c r="BE13" i="103"/>
  <c r="BP14" i="103"/>
  <c r="BP15" i="103"/>
  <c r="BP16" i="103"/>
  <c r="BP17" i="103"/>
  <c r="BP18" i="103"/>
  <c r="BP21" i="103"/>
  <c r="BP22" i="103"/>
  <c r="BP23" i="103"/>
  <c r="BP24" i="103"/>
  <c r="BP25" i="103"/>
  <c r="BP26" i="103"/>
  <c r="BP27" i="103"/>
  <c r="BP28" i="103"/>
  <c r="BP29" i="103"/>
  <c r="BP30" i="103"/>
  <c r="BP31" i="103"/>
  <c r="BP32" i="103"/>
  <c r="BP33" i="103"/>
  <c r="BP34" i="103"/>
  <c r="BP35" i="103"/>
  <c r="BP36" i="103"/>
  <c r="BP37" i="103"/>
  <c r="BP38" i="103"/>
  <c r="BP39" i="103"/>
  <c r="BP40" i="103"/>
  <c r="BP41" i="103"/>
  <c r="BP42" i="103"/>
  <c r="BP43" i="103"/>
  <c r="BP44" i="103"/>
  <c r="BP45" i="103"/>
  <c r="BP46" i="103"/>
  <c r="BP47" i="103"/>
  <c r="BP48" i="103"/>
  <c r="BP49" i="103"/>
  <c r="BP50" i="103"/>
  <c r="BP51" i="103"/>
  <c r="BP52" i="103"/>
  <c r="BP53" i="103"/>
  <c r="BP54" i="103"/>
  <c r="BP55" i="103"/>
  <c r="BP56" i="103"/>
  <c r="BP57" i="103"/>
  <c r="BP58" i="103"/>
  <c r="BP59" i="103"/>
  <c r="BP60" i="103"/>
  <c r="BP61" i="103"/>
  <c r="BP62" i="103"/>
  <c r="BP63" i="103"/>
  <c r="BP64" i="103"/>
  <c r="BP65" i="103"/>
  <c r="BP66" i="103"/>
  <c r="BP67" i="103"/>
  <c r="BP68" i="103"/>
  <c r="BP69" i="103"/>
  <c r="BP70" i="103"/>
  <c r="BP71" i="103"/>
  <c r="BP72" i="103"/>
  <c r="BP73" i="103"/>
  <c r="BP74" i="103"/>
  <c r="BP75" i="103"/>
  <c r="BP76" i="103"/>
  <c r="BP77" i="103"/>
  <c r="BP78" i="103"/>
  <c r="BP79" i="103"/>
  <c r="BP80" i="103"/>
  <c r="BP81" i="103"/>
  <c r="BP82" i="103"/>
  <c r="BP83" i="103"/>
  <c r="BP84" i="103"/>
  <c r="BP85" i="103"/>
  <c r="BP86" i="103"/>
  <c r="BP87" i="103"/>
  <c r="BP88" i="103"/>
  <c r="BP89" i="103"/>
  <c r="BP90" i="103"/>
  <c r="BP91" i="103"/>
  <c r="BP92" i="103"/>
  <c r="BP93" i="103"/>
  <c r="BP94" i="103"/>
  <c r="BP95" i="103"/>
  <c r="BP96" i="103"/>
  <c r="BP97" i="103"/>
  <c r="BP98" i="103"/>
  <c r="BP99" i="103"/>
  <c r="BP100" i="103"/>
  <c r="BP101" i="103"/>
  <c r="BP102" i="103"/>
  <c r="BP103" i="103"/>
  <c r="BP104" i="103"/>
  <c r="BP105" i="103"/>
  <c r="BP106" i="103"/>
  <c r="BP107" i="103"/>
  <c r="BP108" i="103"/>
  <c r="BP109" i="103"/>
  <c r="BP110" i="103"/>
  <c r="BP111" i="103"/>
  <c r="BP112" i="103"/>
  <c r="BP113" i="103"/>
  <c r="BP114" i="103"/>
  <c r="BS14" i="103" l="1"/>
  <c r="BS15" i="103"/>
  <c r="BS16" i="103"/>
  <c r="BS17" i="103"/>
  <c r="BS18" i="103"/>
  <c r="BT18" i="103" s="1"/>
  <c r="BV18" i="103" s="1"/>
  <c r="BS19" i="103"/>
  <c r="BT19" i="103" s="1"/>
  <c r="BS21" i="103"/>
  <c r="BT21" i="103" s="1"/>
  <c r="BS22" i="103"/>
  <c r="BS23" i="103"/>
  <c r="BS24" i="103"/>
  <c r="BS25" i="103"/>
  <c r="BS26" i="103"/>
  <c r="BS27" i="103"/>
  <c r="BT27" i="103" s="1"/>
  <c r="BS28" i="103"/>
  <c r="BT28" i="103" s="1"/>
  <c r="BS29" i="103"/>
  <c r="BT29" i="103" s="1"/>
  <c r="BS30" i="103"/>
  <c r="BS31" i="103"/>
  <c r="BS32" i="103"/>
  <c r="BS33" i="103"/>
  <c r="BS34" i="103"/>
  <c r="BS35" i="103"/>
  <c r="BT35" i="103" s="1"/>
  <c r="BS36" i="103"/>
  <c r="BT36" i="103" s="1"/>
  <c r="BS37" i="103"/>
  <c r="BT37" i="103" s="1"/>
  <c r="BS38" i="103"/>
  <c r="BS39" i="103"/>
  <c r="BS40" i="103"/>
  <c r="BS41" i="103"/>
  <c r="BS42" i="103"/>
  <c r="BS43" i="103"/>
  <c r="BT43" i="103" s="1"/>
  <c r="BS44" i="103"/>
  <c r="BT44" i="103" s="1"/>
  <c r="BS45" i="103"/>
  <c r="BT45" i="103" s="1"/>
  <c r="BS46" i="103"/>
  <c r="BT46" i="103" s="1"/>
  <c r="BS47" i="103"/>
  <c r="BS48" i="103"/>
  <c r="BS49" i="103"/>
  <c r="BS50" i="103"/>
  <c r="BS51" i="103"/>
  <c r="BT51" i="103" s="1"/>
  <c r="BS52" i="103"/>
  <c r="BT52" i="103" s="1"/>
  <c r="BS53" i="103"/>
  <c r="BT53" i="103" s="1"/>
  <c r="BS54" i="103"/>
  <c r="BT54" i="103" s="1"/>
  <c r="BS55" i="103"/>
  <c r="BS56" i="103"/>
  <c r="BS57" i="103"/>
  <c r="BS58" i="103"/>
  <c r="BS59" i="103"/>
  <c r="BT59" i="103" s="1"/>
  <c r="BS60" i="103"/>
  <c r="BT60" i="103" s="1"/>
  <c r="BS61" i="103"/>
  <c r="BT61" i="103" s="1"/>
  <c r="BS62" i="103"/>
  <c r="BT62" i="103" s="1"/>
  <c r="BS63" i="103"/>
  <c r="BS64" i="103"/>
  <c r="BS65" i="103"/>
  <c r="BS66" i="103"/>
  <c r="BS67" i="103"/>
  <c r="BT67" i="103" s="1"/>
  <c r="BS68" i="103"/>
  <c r="BT68" i="103" s="1"/>
  <c r="BS69" i="103"/>
  <c r="BT69" i="103" s="1"/>
  <c r="BS70" i="103"/>
  <c r="BT70" i="103" s="1"/>
  <c r="BS71" i="103"/>
  <c r="BS72" i="103"/>
  <c r="BS73" i="103"/>
  <c r="BS74" i="103"/>
  <c r="BS75" i="103"/>
  <c r="BT75" i="103" s="1"/>
  <c r="BS76" i="103"/>
  <c r="BT76" i="103" s="1"/>
  <c r="BS77" i="103"/>
  <c r="BT77" i="103" s="1"/>
  <c r="BS78" i="103"/>
  <c r="BT78" i="103" s="1"/>
  <c r="BS79" i="103"/>
  <c r="BS80" i="103"/>
  <c r="BS81" i="103"/>
  <c r="BS82" i="103"/>
  <c r="BS83" i="103"/>
  <c r="BT83" i="103" s="1"/>
  <c r="BS84" i="103"/>
  <c r="BT84" i="103" s="1"/>
  <c r="BS85" i="103"/>
  <c r="BT85" i="103" s="1"/>
  <c r="BS86" i="103"/>
  <c r="BT86" i="103" s="1"/>
  <c r="BS87" i="103"/>
  <c r="BS88" i="103"/>
  <c r="BS89" i="103"/>
  <c r="BS90" i="103"/>
  <c r="BS91" i="103"/>
  <c r="BT91" i="103" s="1"/>
  <c r="BS92" i="103"/>
  <c r="BT92" i="103" s="1"/>
  <c r="BS93" i="103"/>
  <c r="BT93" i="103" s="1"/>
  <c r="BS94" i="103"/>
  <c r="BT94" i="103" s="1"/>
  <c r="BS95" i="103"/>
  <c r="BS96" i="103"/>
  <c r="BS97" i="103"/>
  <c r="BS98" i="103"/>
  <c r="BS99" i="103"/>
  <c r="BT99" i="103" s="1"/>
  <c r="BS100" i="103"/>
  <c r="BT100" i="103" s="1"/>
  <c r="BS101" i="103"/>
  <c r="BT101" i="103" s="1"/>
  <c r="BS102" i="103"/>
  <c r="BT102" i="103" s="1"/>
  <c r="BS103" i="103"/>
  <c r="BS104" i="103"/>
  <c r="BS105" i="103"/>
  <c r="BS106" i="103"/>
  <c r="BS107" i="103"/>
  <c r="BT107" i="103" s="1"/>
  <c r="BS108" i="103"/>
  <c r="BT108" i="103" s="1"/>
  <c r="BS109" i="103"/>
  <c r="BT109" i="103" s="1"/>
  <c r="BS110" i="103"/>
  <c r="BT110" i="103" s="1"/>
  <c r="BS111" i="103"/>
  <c r="BS112" i="103"/>
  <c r="BS113" i="103"/>
  <c r="BS114" i="103"/>
  <c r="BS13" i="103"/>
  <c r="BN14" i="103"/>
  <c r="BN15" i="103"/>
  <c r="BN16" i="103"/>
  <c r="BN17" i="103"/>
  <c r="BN18" i="103"/>
  <c r="BN19" i="103"/>
  <c r="BP19" i="103" s="1"/>
  <c r="BN21" i="103"/>
  <c r="BN22" i="103"/>
  <c r="BN23" i="103"/>
  <c r="BN24" i="103"/>
  <c r="BN25" i="103"/>
  <c r="BN26" i="103"/>
  <c r="BN27" i="103"/>
  <c r="BN28" i="103"/>
  <c r="BN29" i="103"/>
  <c r="BN30" i="103"/>
  <c r="BN31" i="103"/>
  <c r="BN32" i="103"/>
  <c r="BN33" i="103"/>
  <c r="BN34" i="103"/>
  <c r="BN35" i="103"/>
  <c r="BN36" i="103"/>
  <c r="BN37" i="103"/>
  <c r="BN38" i="103"/>
  <c r="BN39" i="103"/>
  <c r="BN40" i="103"/>
  <c r="BN41" i="103"/>
  <c r="BN42" i="103"/>
  <c r="BN43" i="103"/>
  <c r="BN44" i="103"/>
  <c r="BN45" i="103"/>
  <c r="BN46" i="103"/>
  <c r="BN47" i="103"/>
  <c r="BN48" i="103"/>
  <c r="BN49" i="103"/>
  <c r="BN50" i="103"/>
  <c r="BN51" i="103"/>
  <c r="BN52" i="103"/>
  <c r="BN53" i="103"/>
  <c r="BN54" i="103"/>
  <c r="BN55" i="103"/>
  <c r="BN56" i="103"/>
  <c r="BN57" i="103"/>
  <c r="BN58" i="103"/>
  <c r="BN59" i="103"/>
  <c r="BN60" i="103"/>
  <c r="BN61" i="103"/>
  <c r="BN62" i="103"/>
  <c r="BN63" i="103"/>
  <c r="BN64" i="103"/>
  <c r="BN65" i="103"/>
  <c r="BN66" i="103"/>
  <c r="BN67" i="103"/>
  <c r="BN68" i="103"/>
  <c r="BN69" i="103"/>
  <c r="BN70" i="103"/>
  <c r="BN71" i="103"/>
  <c r="BN72" i="103"/>
  <c r="BN73" i="103"/>
  <c r="BN74" i="103"/>
  <c r="BN75" i="103"/>
  <c r="BN76" i="103"/>
  <c r="BN77" i="103"/>
  <c r="BN78" i="103"/>
  <c r="BN79" i="103"/>
  <c r="BN80" i="103"/>
  <c r="BN81" i="103"/>
  <c r="BN82" i="103"/>
  <c r="BN83" i="103"/>
  <c r="BN84" i="103"/>
  <c r="BN85" i="103"/>
  <c r="BN86" i="103"/>
  <c r="BN87" i="103"/>
  <c r="BN88" i="103"/>
  <c r="BN89" i="103"/>
  <c r="BN90" i="103"/>
  <c r="BN91" i="103"/>
  <c r="BN92" i="103"/>
  <c r="BN93" i="103"/>
  <c r="BN94" i="103"/>
  <c r="BN95" i="103"/>
  <c r="BN96" i="103"/>
  <c r="BN97" i="103"/>
  <c r="BN98" i="103"/>
  <c r="BN99" i="103"/>
  <c r="BN100" i="103"/>
  <c r="BN101" i="103"/>
  <c r="BN102" i="103"/>
  <c r="BN103" i="103"/>
  <c r="BN104" i="103"/>
  <c r="BN105" i="103"/>
  <c r="BN106" i="103"/>
  <c r="BN107" i="103"/>
  <c r="BN108" i="103"/>
  <c r="BN109" i="103"/>
  <c r="BN110" i="103"/>
  <c r="BN111" i="103"/>
  <c r="BN112" i="103"/>
  <c r="BN113" i="103"/>
  <c r="BN114" i="103"/>
  <c r="BN13" i="103"/>
  <c r="BU22" i="103"/>
  <c r="BU30" i="103"/>
  <c r="BU38" i="103"/>
  <c r="BT15" i="103"/>
  <c r="BU15" i="103" s="1"/>
  <c r="BT16" i="103"/>
  <c r="BV16" i="103" s="1"/>
  <c r="BT17" i="103"/>
  <c r="BV17" i="103" s="1"/>
  <c r="BT22" i="103"/>
  <c r="BV22" i="103" s="1"/>
  <c r="BT23" i="103"/>
  <c r="BU23" i="103" s="1"/>
  <c r="BT24" i="103"/>
  <c r="BV24" i="103" s="1"/>
  <c r="BT25" i="103"/>
  <c r="BU25" i="103" s="1"/>
  <c r="BT26" i="103"/>
  <c r="BV26" i="103" s="1"/>
  <c r="BT30" i="103"/>
  <c r="BV30" i="103" s="1"/>
  <c r="BT31" i="103"/>
  <c r="BU31" i="103" s="1"/>
  <c r="BT32" i="103"/>
  <c r="BV32" i="103" s="1"/>
  <c r="BT33" i="103"/>
  <c r="BU33" i="103" s="1"/>
  <c r="BT34" i="103"/>
  <c r="BV34" i="103" s="1"/>
  <c r="BT38" i="103"/>
  <c r="BV38" i="103" s="1"/>
  <c r="BT39" i="103"/>
  <c r="BU39" i="103" s="1"/>
  <c r="BT40" i="103"/>
  <c r="BV40" i="103" s="1"/>
  <c r="BT41" i="103"/>
  <c r="BV41" i="103" s="1"/>
  <c r="BT42" i="103"/>
  <c r="BV42" i="103" s="1"/>
  <c r="BT47" i="103"/>
  <c r="BU47" i="103" s="1"/>
  <c r="BT48" i="103"/>
  <c r="BV48" i="103" s="1"/>
  <c r="BT49" i="103"/>
  <c r="BV49" i="103" s="1"/>
  <c r="BT50" i="103"/>
  <c r="BV50" i="103" s="1"/>
  <c r="BT55" i="103"/>
  <c r="BU55" i="103" s="1"/>
  <c r="BT56" i="103"/>
  <c r="BV56" i="103" s="1"/>
  <c r="BT57" i="103"/>
  <c r="BU57" i="103" s="1"/>
  <c r="BT58" i="103"/>
  <c r="BV58" i="103" s="1"/>
  <c r="BT63" i="103"/>
  <c r="BU63" i="103" s="1"/>
  <c r="BT64" i="103"/>
  <c r="BU64" i="103" s="1"/>
  <c r="BT65" i="103"/>
  <c r="BV65" i="103" s="1"/>
  <c r="BT66" i="103"/>
  <c r="BV66" i="103" s="1"/>
  <c r="BT71" i="103"/>
  <c r="BU71" i="103" s="1"/>
  <c r="BT72" i="103"/>
  <c r="BU72" i="103" s="1"/>
  <c r="BT73" i="103"/>
  <c r="BU73" i="103" s="1"/>
  <c r="BT74" i="103"/>
  <c r="BV74" i="103" s="1"/>
  <c r="BT79" i="103"/>
  <c r="BU79" i="103" s="1"/>
  <c r="BT80" i="103"/>
  <c r="BV80" i="103" s="1"/>
  <c r="BT81" i="103"/>
  <c r="BV81" i="103" s="1"/>
  <c r="BT82" i="103"/>
  <c r="BV82" i="103" s="1"/>
  <c r="BT87" i="103"/>
  <c r="BU87" i="103" s="1"/>
  <c r="BT88" i="103"/>
  <c r="BV88" i="103" s="1"/>
  <c r="BT89" i="103"/>
  <c r="BU89" i="103" s="1"/>
  <c r="BT90" i="103"/>
  <c r="BV90" i="103" s="1"/>
  <c r="BT95" i="103"/>
  <c r="BU95" i="103" s="1"/>
  <c r="BT96" i="103"/>
  <c r="BU96" i="103" s="1"/>
  <c r="BT97" i="103"/>
  <c r="BV97" i="103" s="1"/>
  <c r="BT98" i="103"/>
  <c r="BV98" i="103" s="1"/>
  <c r="BT103" i="103"/>
  <c r="BU103" i="103" s="1"/>
  <c r="BT104" i="103"/>
  <c r="BV104" i="103" s="1"/>
  <c r="BT105" i="103"/>
  <c r="BV105" i="103" s="1"/>
  <c r="BT106" i="103"/>
  <c r="BV106" i="103" s="1"/>
  <c r="BT111" i="103"/>
  <c r="BU111" i="103" s="1"/>
  <c r="BT112" i="103"/>
  <c r="BV112" i="103" s="1"/>
  <c r="BT113" i="103"/>
  <c r="BU113" i="103" s="1"/>
  <c r="BT114" i="103"/>
  <c r="BV114" i="103" s="1"/>
  <c r="BT13" i="103"/>
  <c r="BU13" i="103" s="1"/>
  <c r="BH14" i="106"/>
  <c r="BH15" i="106"/>
  <c r="BH16" i="106"/>
  <c r="BI16" i="106" s="1"/>
  <c r="BH17" i="106"/>
  <c r="BH18" i="106"/>
  <c r="BJ18" i="106" s="1"/>
  <c r="BH19" i="106"/>
  <c r="BJ19" i="106" s="1"/>
  <c r="BH21" i="106"/>
  <c r="BH22" i="106"/>
  <c r="BH23" i="106"/>
  <c r="BH24" i="106"/>
  <c r="BH25" i="106"/>
  <c r="BH26" i="106"/>
  <c r="BJ26" i="106" s="1"/>
  <c r="BH27" i="106"/>
  <c r="BH28" i="106"/>
  <c r="BH29" i="106"/>
  <c r="BI29" i="106" s="1"/>
  <c r="BH30" i="106"/>
  <c r="BH31" i="106"/>
  <c r="BH32" i="106"/>
  <c r="BI32" i="106" s="1"/>
  <c r="BH33" i="106"/>
  <c r="BH34" i="106"/>
  <c r="BJ34" i="106" s="1"/>
  <c r="BH35" i="106"/>
  <c r="BH36" i="106"/>
  <c r="BH37" i="106"/>
  <c r="BH38" i="106"/>
  <c r="BH39" i="106"/>
  <c r="BH40" i="106"/>
  <c r="BH41" i="106"/>
  <c r="BH42" i="106"/>
  <c r="BJ42" i="106" s="1"/>
  <c r="BH43" i="106"/>
  <c r="BH44" i="106"/>
  <c r="BH45" i="106"/>
  <c r="BI45" i="106" s="1"/>
  <c r="BH46" i="106"/>
  <c r="BH47" i="106"/>
  <c r="BH48" i="106"/>
  <c r="BI48" i="106" s="1"/>
  <c r="BH49" i="106"/>
  <c r="BH50" i="106"/>
  <c r="BJ50" i="106" s="1"/>
  <c r="BH51" i="106"/>
  <c r="BH52" i="106"/>
  <c r="BH53" i="106"/>
  <c r="BH54" i="106"/>
  <c r="BH55" i="106"/>
  <c r="BH56" i="106"/>
  <c r="BH57" i="106"/>
  <c r="BH58" i="106"/>
  <c r="BJ58" i="106" s="1"/>
  <c r="BH59" i="106"/>
  <c r="BH60" i="106"/>
  <c r="BH61" i="106"/>
  <c r="BI61" i="106" s="1"/>
  <c r="BH62" i="106"/>
  <c r="BH63" i="106"/>
  <c r="BH64" i="106"/>
  <c r="BI64" i="106" s="1"/>
  <c r="BH65" i="106"/>
  <c r="BH66" i="106"/>
  <c r="BJ66" i="106" s="1"/>
  <c r="BH67" i="106"/>
  <c r="BH68" i="106"/>
  <c r="BH69" i="106"/>
  <c r="BH70" i="106"/>
  <c r="BH71" i="106"/>
  <c r="BH72" i="106"/>
  <c r="BH73" i="106"/>
  <c r="BH74" i="106"/>
  <c r="BJ74" i="106" s="1"/>
  <c r="BH75" i="106"/>
  <c r="BH76" i="106"/>
  <c r="BH77" i="106"/>
  <c r="BI77" i="106" s="1"/>
  <c r="BH78" i="106"/>
  <c r="BH79" i="106"/>
  <c r="BH80" i="106"/>
  <c r="BI80" i="106" s="1"/>
  <c r="BH81" i="106"/>
  <c r="BH82" i="106"/>
  <c r="BJ82" i="106" s="1"/>
  <c r="BH83" i="106"/>
  <c r="BH84" i="106"/>
  <c r="BH85" i="106"/>
  <c r="BH86" i="106"/>
  <c r="BH87" i="106"/>
  <c r="BH88" i="106"/>
  <c r="BH89" i="106"/>
  <c r="BH90" i="106"/>
  <c r="BJ90" i="106" s="1"/>
  <c r="BH91" i="106"/>
  <c r="BH92" i="106"/>
  <c r="BH93" i="106"/>
  <c r="BI93" i="106" s="1"/>
  <c r="BH94" i="106"/>
  <c r="BH95" i="106"/>
  <c r="BH96" i="106"/>
  <c r="BI96" i="106" s="1"/>
  <c r="BH97" i="106"/>
  <c r="BH98" i="106"/>
  <c r="BJ98" i="106" s="1"/>
  <c r="BH99" i="106"/>
  <c r="BH100" i="106"/>
  <c r="BH101" i="106"/>
  <c r="BH102" i="106"/>
  <c r="BH103" i="106"/>
  <c r="BH104" i="106"/>
  <c r="BH105" i="106"/>
  <c r="BH106" i="106"/>
  <c r="BJ106" i="106" s="1"/>
  <c r="BH107" i="106"/>
  <c r="BH108" i="106"/>
  <c r="BH109" i="106"/>
  <c r="BI109" i="106" s="1"/>
  <c r="BH110" i="106"/>
  <c r="BH111" i="106"/>
  <c r="BH112" i="106"/>
  <c r="BI112" i="106" s="1"/>
  <c r="BH113" i="106"/>
  <c r="BJ14" i="106"/>
  <c r="BJ15" i="106"/>
  <c r="BJ16" i="106"/>
  <c r="BJ17" i="106"/>
  <c r="BJ21" i="106"/>
  <c r="BJ22" i="106"/>
  <c r="BJ23" i="106"/>
  <c r="BJ24" i="106"/>
  <c r="BJ25" i="106"/>
  <c r="BJ27" i="106"/>
  <c r="BJ28" i="106"/>
  <c r="BJ29" i="106"/>
  <c r="BJ30" i="106"/>
  <c r="BJ31" i="106"/>
  <c r="BJ32" i="106"/>
  <c r="BJ33" i="106"/>
  <c r="BJ35" i="106"/>
  <c r="BJ36" i="106"/>
  <c r="BJ37" i="106"/>
  <c r="BJ38" i="106"/>
  <c r="BJ39" i="106"/>
  <c r="BJ40" i="106"/>
  <c r="BJ41" i="106"/>
  <c r="BJ43" i="106"/>
  <c r="BJ44" i="106"/>
  <c r="BJ45" i="106"/>
  <c r="BJ46" i="106"/>
  <c r="BJ47" i="106"/>
  <c r="BJ48" i="106"/>
  <c r="BJ49" i="106"/>
  <c r="BJ51" i="106"/>
  <c r="BJ52" i="106"/>
  <c r="BJ53" i="106"/>
  <c r="BJ54" i="106"/>
  <c r="BJ55" i="106"/>
  <c r="BJ56" i="106"/>
  <c r="BJ57" i="106"/>
  <c r="BJ59" i="106"/>
  <c r="BJ60" i="106"/>
  <c r="BJ61" i="106"/>
  <c r="BJ62" i="106"/>
  <c r="BJ63" i="106"/>
  <c r="BJ64" i="106"/>
  <c r="BJ65" i="106"/>
  <c r="BJ67" i="106"/>
  <c r="BJ68" i="106"/>
  <c r="BJ69" i="106"/>
  <c r="BJ70" i="106"/>
  <c r="BJ71" i="106"/>
  <c r="BJ72" i="106"/>
  <c r="BJ73" i="106"/>
  <c r="BJ75" i="106"/>
  <c r="BJ76" i="106"/>
  <c r="BJ77" i="106"/>
  <c r="BJ78" i="106"/>
  <c r="BJ79" i="106"/>
  <c r="BJ80" i="106"/>
  <c r="BJ81" i="106"/>
  <c r="BJ83" i="106"/>
  <c r="BJ84" i="106"/>
  <c r="BJ85" i="106"/>
  <c r="BJ86" i="106"/>
  <c r="BJ87" i="106"/>
  <c r="BJ88" i="106"/>
  <c r="BJ89" i="106"/>
  <c r="BJ91" i="106"/>
  <c r="BJ92" i="106"/>
  <c r="BJ93" i="106"/>
  <c r="BJ94" i="106"/>
  <c r="BJ95" i="106"/>
  <c r="BJ96" i="106"/>
  <c r="BJ97" i="106"/>
  <c r="BJ99" i="106"/>
  <c r="BJ100" i="106"/>
  <c r="BJ101" i="106"/>
  <c r="BJ102" i="106"/>
  <c r="BJ103" i="106"/>
  <c r="BJ104" i="106"/>
  <c r="BJ105" i="106"/>
  <c r="BJ107" i="106"/>
  <c r="BJ108" i="106"/>
  <c r="BJ109" i="106"/>
  <c r="BJ110" i="106"/>
  <c r="BJ111" i="106"/>
  <c r="BJ112" i="106"/>
  <c r="BJ113" i="106"/>
  <c r="BI21" i="106"/>
  <c r="BI27" i="106"/>
  <c r="BI28" i="106"/>
  <c r="BI35" i="106"/>
  <c r="BI36" i="106"/>
  <c r="BI37" i="106"/>
  <c r="BI43" i="106"/>
  <c r="BI44" i="106"/>
  <c r="BI51" i="106"/>
  <c r="BI52" i="106"/>
  <c r="BI53" i="106"/>
  <c r="BI59" i="106"/>
  <c r="BI60" i="106"/>
  <c r="BI67" i="106"/>
  <c r="BI68" i="106"/>
  <c r="BI69" i="106"/>
  <c r="BI75" i="106"/>
  <c r="BI76" i="106"/>
  <c r="BI83" i="106"/>
  <c r="BI84" i="106"/>
  <c r="BI85" i="106"/>
  <c r="BI91" i="106"/>
  <c r="BI92" i="106"/>
  <c r="BI99" i="106"/>
  <c r="BI100" i="106"/>
  <c r="BI101" i="106"/>
  <c r="BI107" i="106"/>
  <c r="BI108" i="106"/>
  <c r="BI14" i="106"/>
  <c r="BI15" i="106"/>
  <c r="BI17" i="106"/>
  <c r="BI22" i="106"/>
  <c r="BI23" i="106"/>
  <c r="BI24" i="106"/>
  <c r="BI25" i="106"/>
  <c r="BI30" i="106"/>
  <c r="BI31" i="106"/>
  <c r="BI33" i="106"/>
  <c r="BI38" i="106"/>
  <c r="BI39" i="106"/>
  <c r="BI40" i="106"/>
  <c r="BI41" i="106"/>
  <c r="BI46" i="106"/>
  <c r="BI47" i="106"/>
  <c r="BI49" i="106"/>
  <c r="BI54" i="106"/>
  <c r="BI55" i="106"/>
  <c r="BI56" i="106"/>
  <c r="BI57" i="106"/>
  <c r="BI62" i="106"/>
  <c r="BI63" i="106"/>
  <c r="BI65" i="106"/>
  <c r="BI70" i="106"/>
  <c r="BI71" i="106"/>
  <c r="BI72" i="106"/>
  <c r="BI73" i="106"/>
  <c r="BI78" i="106"/>
  <c r="BI79" i="106"/>
  <c r="BI81" i="106"/>
  <c r="BI86" i="106"/>
  <c r="BI87" i="106"/>
  <c r="BI88" i="106"/>
  <c r="BI89" i="106"/>
  <c r="BI94" i="106"/>
  <c r="BI95" i="106"/>
  <c r="BI97" i="106"/>
  <c r="BI102" i="106"/>
  <c r="BI103" i="106"/>
  <c r="BI104" i="106"/>
  <c r="BI105" i="106"/>
  <c r="BI110" i="106"/>
  <c r="BI111" i="106"/>
  <c r="BI113" i="106"/>
  <c r="BT14" i="103"/>
  <c r="BU14" i="103" s="1"/>
  <c r="BI19" i="106" l="1"/>
  <c r="BV19" i="103"/>
  <c r="BU19" i="103"/>
  <c r="BV85" i="103"/>
  <c r="BU85" i="103"/>
  <c r="BV37" i="103"/>
  <c r="BU37" i="103"/>
  <c r="BV44" i="103"/>
  <c r="BU44" i="103"/>
  <c r="BV109" i="103"/>
  <c r="BU109" i="103"/>
  <c r="BV77" i="103"/>
  <c r="BU77" i="103"/>
  <c r="BU21" i="103"/>
  <c r="BV21" i="103"/>
  <c r="BV92" i="103"/>
  <c r="BU92" i="103"/>
  <c r="BV60" i="103"/>
  <c r="BU60" i="103"/>
  <c r="BV28" i="103"/>
  <c r="BU28" i="103"/>
  <c r="BV83" i="103"/>
  <c r="BU83" i="103"/>
  <c r="BV67" i="103"/>
  <c r="BU67" i="103"/>
  <c r="BV35" i="103"/>
  <c r="BU35" i="103"/>
  <c r="BU69" i="103"/>
  <c r="BV69" i="103"/>
  <c r="BU45" i="103"/>
  <c r="BV45" i="103"/>
  <c r="BU100" i="103"/>
  <c r="BV100" i="103"/>
  <c r="BV76" i="103"/>
  <c r="BU76" i="103"/>
  <c r="BV91" i="103"/>
  <c r="BU91" i="103"/>
  <c r="BV27" i="103"/>
  <c r="BU27" i="103"/>
  <c r="BU101" i="103"/>
  <c r="BV101" i="103"/>
  <c r="BV53" i="103"/>
  <c r="BU53" i="103"/>
  <c r="BU52" i="103"/>
  <c r="BV52" i="103"/>
  <c r="BV107" i="103"/>
  <c r="BU107" i="103"/>
  <c r="BV43" i="103"/>
  <c r="BU43" i="103"/>
  <c r="BV93" i="103"/>
  <c r="BU93" i="103"/>
  <c r="BU61" i="103"/>
  <c r="BV61" i="103"/>
  <c r="BU29" i="103"/>
  <c r="BV29" i="103"/>
  <c r="BU108" i="103"/>
  <c r="BV108" i="103"/>
  <c r="BV84" i="103"/>
  <c r="BU84" i="103"/>
  <c r="BU68" i="103"/>
  <c r="BV68" i="103"/>
  <c r="BU36" i="103"/>
  <c r="BV36" i="103"/>
  <c r="BV99" i="103"/>
  <c r="BU99" i="103"/>
  <c r="BV75" i="103"/>
  <c r="BU75" i="103"/>
  <c r="BV59" i="103"/>
  <c r="BU59" i="103"/>
  <c r="BV51" i="103"/>
  <c r="BU51" i="103"/>
  <c r="BU110" i="103"/>
  <c r="BV110" i="103"/>
  <c r="BU102" i="103"/>
  <c r="BV102" i="103"/>
  <c r="BU94" i="103"/>
  <c r="BV94" i="103"/>
  <c r="BU86" i="103"/>
  <c r="BV86" i="103"/>
  <c r="BU78" i="103"/>
  <c r="BV78" i="103"/>
  <c r="BU70" i="103"/>
  <c r="BV70" i="103"/>
  <c r="BU62" i="103"/>
  <c r="BV62" i="103"/>
  <c r="BU54" i="103"/>
  <c r="BV54" i="103"/>
  <c r="BU46" i="103"/>
  <c r="BV46" i="103"/>
  <c r="BV64" i="103"/>
  <c r="BV95" i="103"/>
  <c r="BV47" i="103"/>
  <c r="BU114" i="103"/>
  <c r="BU106" i="103"/>
  <c r="BU98" i="103"/>
  <c r="BU90" i="103"/>
  <c r="BU82" i="103"/>
  <c r="BU74" i="103"/>
  <c r="BU66" i="103"/>
  <c r="BU58" i="103"/>
  <c r="BU50" i="103"/>
  <c r="BU42" i="103"/>
  <c r="BU34" i="103"/>
  <c r="BU26" i="103"/>
  <c r="BV14" i="103"/>
  <c r="BV113" i="103"/>
  <c r="BV89" i="103"/>
  <c r="BV73" i="103"/>
  <c r="BV57" i="103"/>
  <c r="BV33" i="103"/>
  <c r="BV25" i="103"/>
  <c r="BV72" i="103"/>
  <c r="BV111" i="103"/>
  <c r="BV103" i="103"/>
  <c r="BV79" i="103"/>
  <c r="BV71" i="103"/>
  <c r="BV63" i="103"/>
  <c r="BV55" i="103"/>
  <c r="BV39" i="103"/>
  <c r="BV31" i="103"/>
  <c r="BV23" i="103"/>
  <c r="BV15" i="103"/>
  <c r="BU97" i="103"/>
  <c r="BU49" i="103"/>
  <c r="BV96" i="103"/>
  <c r="BV87" i="103"/>
  <c r="BU105" i="103"/>
  <c r="BU81" i="103"/>
  <c r="BU41" i="103"/>
  <c r="BU17" i="103"/>
  <c r="BU112" i="103"/>
  <c r="BU104" i="103"/>
  <c r="BU88" i="103"/>
  <c r="BU80" i="103"/>
  <c r="BU56" i="103"/>
  <c r="BU48" i="103"/>
  <c r="BU40" i="103"/>
  <c r="BU32" i="103"/>
  <c r="BU24" i="103"/>
  <c r="BU16" i="103"/>
  <c r="BU65" i="103"/>
  <c r="BV13" i="103"/>
  <c r="BI106" i="106"/>
  <c r="BI90" i="106"/>
  <c r="BI74" i="106"/>
  <c r="BI58" i="106"/>
  <c r="BI42" i="106"/>
  <c r="BI26" i="106"/>
  <c r="BI98" i="106"/>
  <c r="BI82" i="106"/>
  <c r="BI66" i="106"/>
  <c r="BI50" i="106"/>
  <c r="BI34" i="106"/>
  <c r="BI18" i="106"/>
  <c r="BQ14" i="103" l="1"/>
  <c r="BQ15" i="103"/>
  <c r="BQ16" i="103"/>
  <c r="BQ17" i="103"/>
  <c r="BQ18" i="103"/>
  <c r="BQ19" i="103"/>
  <c r="BQ20" i="103"/>
  <c r="BQ21" i="103"/>
  <c r="BQ22" i="103"/>
  <c r="BQ23" i="103"/>
  <c r="BQ24" i="103"/>
  <c r="BQ25" i="103"/>
  <c r="BQ26" i="103"/>
  <c r="BQ27" i="103"/>
  <c r="BQ28" i="103"/>
  <c r="BQ29" i="103"/>
  <c r="BQ30" i="103"/>
  <c r="BQ31" i="103"/>
  <c r="BQ32" i="103"/>
  <c r="BQ33" i="103"/>
  <c r="BQ34" i="103"/>
  <c r="BQ35" i="103"/>
  <c r="BQ36" i="103"/>
  <c r="BQ37" i="103"/>
  <c r="BQ38" i="103"/>
  <c r="BQ39" i="103"/>
  <c r="BQ40" i="103"/>
  <c r="BQ41" i="103"/>
  <c r="BQ42" i="103"/>
  <c r="BQ43" i="103"/>
  <c r="BQ44" i="103"/>
  <c r="BQ45" i="103"/>
  <c r="BQ46" i="103"/>
  <c r="BQ47" i="103"/>
  <c r="BQ48" i="103"/>
  <c r="BQ49" i="103"/>
  <c r="BQ50" i="103"/>
  <c r="BQ51" i="103"/>
  <c r="BQ52" i="103"/>
  <c r="BQ53" i="103"/>
  <c r="BQ54" i="103"/>
  <c r="BQ55" i="103"/>
  <c r="BQ56" i="103"/>
  <c r="BQ57" i="103"/>
  <c r="BQ58" i="103"/>
  <c r="BQ59" i="103"/>
  <c r="BQ60" i="103"/>
  <c r="BQ61" i="103"/>
  <c r="BQ62" i="103"/>
  <c r="BQ63" i="103"/>
  <c r="BQ64" i="103"/>
  <c r="BQ65" i="103"/>
  <c r="BQ66" i="103"/>
  <c r="BQ67" i="103"/>
  <c r="BQ68" i="103"/>
  <c r="BQ69" i="103"/>
  <c r="BQ70" i="103"/>
  <c r="BQ71" i="103"/>
  <c r="BQ72" i="103"/>
  <c r="BQ73" i="103"/>
  <c r="BQ74" i="103"/>
  <c r="BQ75" i="103"/>
  <c r="BQ76" i="103"/>
  <c r="BQ77" i="103"/>
  <c r="BQ78" i="103"/>
  <c r="BQ79" i="103"/>
  <c r="BQ80" i="103"/>
  <c r="BQ81" i="103"/>
  <c r="BQ82" i="103"/>
  <c r="BQ83" i="103"/>
  <c r="BQ84" i="103"/>
  <c r="BQ85" i="103"/>
  <c r="BQ86" i="103"/>
  <c r="BQ87" i="103"/>
  <c r="BQ88" i="103"/>
  <c r="BQ89" i="103"/>
  <c r="BQ90" i="103"/>
  <c r="BQ91" i="103"/>
  <c r="BQ92" i="103"/>
  <c r="BQ93" i="103"/>
  <c r="BQ94" i="103"/>
  <c r="BQ95" i="103"/>
  <c r="BQ96" i="103"/>
  <c r="BQ97" i="103"/>
  <c r="BQ98" i="103"/>
  <c r="BQ99" i="103"/>
  <c r="BQ100" i="103"/>
  <c r="BQ101" i="103"/>
  <c r="BQ102" i="103"/>
  <c r="BQ103" i="103"/>
  <c r="BQ104" i="103"/>
  <c r="BQ105" i="103"/>
  <c r="BQ106" i="103"/>
  <c r="BQ107" i="103"/>
  <c r="BQ108" i="103"/>
  <c r="BQ109" i="103"/>
  <c r="BQ110" i="103"/>
  <c r="BQ111" i="103"/>
  <c r="BQ112" i="103"/>
  <c r="BQ113" i="103"/>
  <c r="BQ13" i="103"/>
  <c r="BI38" i="105" s="1"/>
  <c r="AI64" i="105" l="1"/>
  <c r="AK64" i="105" s="1"/>
  <c r="AK56" i="105" s="1"/>
  <c r="W111" i="105"/>
  <c r="BE51" i="105"/>
  <c r="BA51" i="105"/>
  <c r="BA46" i="105"/>
  <c r="BA42" i="105"/>
  <c r="BA38" i="105"/>
  <c r="M14" i="103" l="1"/>
  <c r="M15" i="103"/>
  <c r="M16" i="103"/>
  <c r="M17" i="103"/>
  <c r="M18" i="103"/>
  <c r="M19" i="103"/>
  <c r="M20" i="103"/>
  <c r="M21" i="103"/>
  <c r="M22" i="103"/>
  <c r="M23" i="103"/>
  <c r="M24" i="103"/>
  <c r="M25" i="103"/>
  <c r="M26" i="103"/>
  <c r="M27" i="103"/>
  <c r="M28" i="103"/>
  <c r="M29" i="103"/>
  <c r="M30" i="103"/>
  <c r="M31" i="103"/>
  <c r="M32" i="103"/>
  <c r="M33" i="103"/>
  <c r="M34" i="103"/>
  <c r="M35" i="103"/>
  <c r="M36" i="103"/>
  <c r="M37" i="103"/>
  <c r="M38" i="103"/>
  <c r="M39" i="103"/>
  <c r="M40" i="103"/>
  <c r="M41" i="103"/>
  <c r="M42" i="103"/>
  <c r="M43" i="103"/>
  <c r="M44" i="103"/>
  <c r="M45" i="103"/>
  <c r="M46" i="103"/>
  <c r="M47" i="103"/>
  <c r="M48" i="103"/>
  <c r="M49" i="103"/>
  <c r="M50" i="103"/>
  <c r="M51" i="103"/>
  <c r="M52" i="103"/>
  <c r="M53" i="103"/>
  <c r="M54" i="103"/>
  <c r="M55" i="103"/>
  <c r="M56" i="103"/>
  <c r="M57" i="103"/>
  <c r="M58" i="103"/>
  <c r="M59" i="103"/>
  <c r="M60" i="103"/>
  <c r="M61" i="103"/>
  <c r="M62" i="103"/>
  <c r="M63" i="103"/>
  <c r="M64" i="103"/>
  <c r="M65" i="103"/>
  <c r="M66" i="103"/>
  <c r="M67" i="103"/>
  <c r="M68" i="103"/>
  <c r="M69" i="103"/>
  <c r="M70" i="103"/>
  <c r="M71" i="103"/>
  <c r="M72" i="103"/>
  <c r="M73" i="103"/>
  <c r="M74" i="103"/>
  <c r="M75" i="103"/>
  <c r="M76" i="103"/>
  <c r="M77" i="103"/>
  <c r="M78" i="103"/>
  <c r="M79" i="103"/>
  <c r="M80" i="103"/>
  <c r="M81" i="103"/>
  <c r="M82" i="103"/>
  <c r="M83" i="103"/>
  <c r="M84" i="103"/>
  <c r="M85" i="103"/>
  <c r="M86" i="103"/>
  <c r="M87" i="103"/>
  <c r="M88" i="103"/>
  <c r="M89" i="103"/>
  <c r="M90" i="103"/>
  <c r="M91" i="103"/>
  <c r="M92" i="103"/>
  <c r="M93" i="103"/>
  <c r="M94" i="103"/>
  <c r="M95" i="103"/>
  <c r="M96" i="103"/>
  <c r="M97" i="103"/>
  <c r="M98" i="103"/>
  <c r="M99" i="103"/>
  <c r="M100" i="103"/>
  <c r="M101" i="103"/>
  <c r="M102" i="103"/>
  <c r="M103" i="103"/>
  <c r="M104" i="103"/>
  <c r="M105" i="103"/>
  <c r="M106" i="103"/>
  <c r="M107" i="103"/>
  <c r="M108" i="103"/>
  <c r="M109" i="103"/>
  <c r="M110" i="103"/>
  <c r="M111" i="103"/>
  <c r="M112" i="103"/>
  <c r="M113" i="103"/>
  <c r="M13" i="103"/>
  <c r="AX14" i="106" l="1"/>
  <c r="AX15" i="106"/>
  <c r="AX16" i="106"/>
  <c r="AX17" i="106"/>
  <c r="AX18" i="106"/>
  <c r="AX19" i="106"/>
  <c r="AX20" i="106"/>
  <c r="AX21" i="106"/>
  <c r="AX22" i="106"/>
  <c r="AX23" i="106"/>
  <c r="AX24" i="106"/>
  <c r="AX25" i="106"/>
  <c r="AX26" i="106"/>
  <c r="AX27" i="106"/>
  <c r="AX28" i="106"/>
  <c r="AX29" i="106"/>
  <c r="AX30" i="106"/>
  <c r="AX31" i="106"/>
  <c r="AX32" i="106"/>
  <c r="AX33" i="106"/>
  <c r="AX34" i="106"/>
  <c r="AX35" i="106"/>
  <c r="AX36" i="106"/>
  <c r="AX37" i="106"/>
  <c r="AX38" i="106"/>
  <c r="AX39" i="106"/>
  <c r="AX40" i="106"/>
  <c r="AX41" i="106"/>
  <c r="AX42" i="106"/>
  <c r="AX43" i="106"/>
  <c r="AX44" i="106"/>
  <c r="AX45" i="106"/>
  <c r="AX46" i="106"/>
  <c r="AX47" i="106"/>
  <c r="AX48" i="106"/>
  <c r="AX49" i="106"/>
  <c r="AX50" i="106"/>
  <c r="AX51" i="106"/>
  <c r="AX52" i="106"/>
  <c r="AX53" i="106"/>
  <c r="AX54" i="106"/>
  <c r="AX55" i="106"/>
  <c r="AX56" i="106"/>
  <c r="AX57" i="106"/>
  <c r="AX58" i="106"/>
  <c r="AX59" i="106"/>
  <c r="AX60" i="106"/>
  <c r="AX61" i="106"/>
  <c r="AX62" i="106"/>
  <c r="AX63" i="106"/>
  <c r="AX64" i="106"/>
  <c r="AX65" i="106"/>
  <c r="AX66" i="106"/>
  <c r="AX67" i="106"/>
  <c r="AX68" i="106"/>
  <c r="AX69" i="106"/>
  <c r="AX70" i="106"/>
  <c r="AX71" i="106"/>
  <c r="AX72" i="106"/>
  <c r="AX73" i="106"/>
  <c r="AX74" i="106"/>
  <c r="AX75" i="106"/>
  <c r="AX76" i="106"/>
  <c r="AX77" i="106"/>
  <c r="AX78" i="106"/>
  <c r="AX79" i="106"/>
  <c r="AX80" i="106"/>
  <c r="AX81" i="106"/>
  <c r="AX82" i="106"/>
  <c r="AX83" i="106"/>
  <c r="AX84" i="106"/>
  <c r="AX85" i="106"/>
  <c r="AX86" i="106"/>
  <c r="AX87" i="106"/>
  <c r="AX88" i="106"/>
  <c r="AX89" i="106"/>
  <c r="AX90" i="106"/>
  <c r="AX91" i="106"/>
  <c r="AX92" i="106"/>
  <c r="AX93" i="106"/>
  <c r="AX94" i="106"/>
  <c r="AX95" i="106"/>
  <c r="AX96" i="106"/>
  <c r="AX97" i="106"/>
  <c r="AX98" i="106"/>
  <c r="AX99" i="106"/>
  <c r="AX100" i="106"/>
  <c r="AX101" i="106"/>
  <c r="AX102" i="106"/>
  <c r="AX103" i="106"/>
  <c r="AX104" i="106"/>
  <c r="AX105" i="106"/>
  <c r="AX106" i="106"/>
  <c r="AX107" i="106"/>
  <c r="AX108" i="106"/>
  <c r="AX109" i="106"/>
  <c r="AX110" i="106"/>
  <c r="AX111" i="106"/>
  <c r="AX112" i="106"/>
  <c r="AX113" i="106"/>
  <c r="AX13" i="106"/>
  <c r="AW14" i="103"/>
  <c r="AW15" i="103"/>
  <c r="AW16" i="103"/>
  <c r="AW17" i="103"/>
  <c r="AW18" i="103"/>
  <c r="AW19" i="103"/>
  <c r="AW20" i="103"/>
  <c r="AW21" i="103"/>
  <c r="AW22" i="103"/>
  <c r="AW23" i="103"/>
  <c r="AW24" i="103"/>
  <c r="AW25" i="103"/>
  <c r="AW26" i="103"/>
  <c r="AW27" i="103"/>
  <c r="AW28" i="103"/>
  <c r="AW29" i="103"/>
  <c r="AW30" i="103"/>
  <c r="AW31" i="103"/>
  <c r="AW32" i="103"/>
  <c r="AW33" i="103"/>
  <c r="AW34" i="103"/>
  <c r="AW35" i="103"/>
  <c r="AW36" i="103"/>
  <c r="AW37" i="103"/>
  <c r="AW38" i="103"/>
  <c r="AW39" i="103"/>
  <c r="AW40" i="103"/>
  <c r="AW41" i="103"/>
  <c r="AW42" i="103"/>
  <c r="AW43" i="103"/>
  <c r="AW44" i="103"/>
  <c r="AW45" i="103"/>
  <c r="AW46" i="103"/>
  <c r="AW47" i="103"/>
  <c r="AW48" i="103"/>
  <c r="AW49" i="103"/>
  <c r="AW50" i="103"/>
  <c r="AW51" i="103"/>
  <c r="AW52" i="103"/>
  <c r="AW53" i="103"/>
  <c r="AW54" i="103"/>
  <c r="AW55" i="103"/>
  <c r="AW56" i="103"/>
  <c r="AW57" i="103"/>
  <c r="AW58" i="103"/>
  <c r="AW59" i="103"/>
  <c r="AW60" i="103"/>
  <c r="AW61" i="103"/>
  <c r="AW62" i="103"/>
  <c r="AW63" i="103"/>
  <c r="AW64" i="103"/>
  <c r="AW65" i="103"/>
  <c r="AW66" i="103"/>
  <c r="AW67" i="103"/>
  <c r="AW68" i="103"/>
  <c r="AW69" i="103"/>
  <c r="AW70" i="103"/>
  <c r="AW71" i="103"/>
  <c r="AW72" i="103"/>
  <c r="AW73" i="103"/>
  <c r="AW74" i="103"/>
  <c r="AW75" i="103"/>
  <c r="AW76" i="103"/>
  <c r="AW77" i="103"/>
  <c r="AW78" i="103"/>
  <c r="AW79" i="103"/>
  <c r="AW80" i="103"/>
  <c r="AW81" i="103"/>
  <c r="AW82" i="103"/>
  <c r="AW83" i="103"/>
  <c r="AW84" i="103"/>
  <c r="AW85" i="103"/>
  <c r="AW86" i="103"/>
  <c r="AW87" i="103"/>
  <c r="AW88" i="103"/>
  <c r="AW89" i="103"/>
  <c r="AW90" i="103"/>
  <c r="AW91" i="103"/>
  <c r="AW92" i="103"/>
  <c r="AW93" i="103"/>
  <c r="AW94" i="103"/>
  <c r="AW95" i="103"/>
  <c r="AW96" i="103"/>
  <c r="AW97" i="103"/>
  <c r="AW98" i="103"/>
  <c r="AW99" i="103"/>
  <c r="AW100" i="103"/>
  <c r="AW101" i="103"/>
  <c r="AW102" i="103"/>
  <c r="AW103" i="103"/>
  <c r="AW104" i="103"/>
  <c r="AW105" i="103"/>
  <c r="AW106" i="103"/>
  <c r="AW107" i="103"/>
  <c r="AW108" i="103"/>
  <c r="AW109" i="103"/>
  <c r="AW110" i="103"/>
  <c r="AW111" i="103"/>
  <c r="AW112" i="103"/>
  <c r="AW113" i="103"/>
  <c r="AW13" i="103"/>
  <c r="AA20" i="106"/>
  <c r="AA21" i="106"/>
  <c r="AA22" i="106"/>
  <c r="AA23" i="106"/>
  <c r="AA24" i="106"/>
  <c r="AA25" i="106"/>
  <c r="AA26" i="106"/>
  <c r="AA27" i="106"/>
  <c r="AA28" i="106"/>
  <c r="AA29" i="106"/>
  <c r="AA30" i="106"/>
  <c r="AA31" i="106"/>
  <c r="AA32" i="106"/>
  <c r="AA33" i="106"/>
  <c r="AA34" i="106"/>
  <c r="AA35" i="106"/>
  <c r="AA36" i="106"/>
  <c r="AA37" i="106"/>
  <c r="AA38" i="106"/>
  <c r="AA39" i="106"/>
  <c r="AA40" i="106"/>
  <c r="AA41" i="106"/>
  <c r="AA42" i="106"/>
  <c r="AA43" i="106"/>
  <c r="AA44" i="106"/>
  <c r="AA45" i="106"/>
  <c r="AA46" i="106"/>
  <c r="AA47" i="106"/>
  <c r="AA48" i="106"/>
  <c r="AA49" i="106"/>
  <c r="AA50" i="106"/>
  <c r="AA51" i="106"/>
  <c r="AA52" i="106"/>
  <c r="AA53" i="106"/>
  <c r="AA54" i="106"/>
  <c r="AA55" i="106"/>
  <c r="AA56" i="106"/>
  <c r="AA57" i="106"/>
  <c r="AA58" i="106"/>
  <c r="AA59" i="106"/>
  <c r="AA60" i="106"/>
  <c r="AA61" i="106"/>
  <c r="AA62" i="106"/>
  <c r="AA63" i="106"/>
  <c r="AA64" i="106"/>
  <c r="AA65" i="106"/>
  <c r="AA66" i="106"/>
  <c r="AA67" i="106"/>
  <c r="AA68" i="106"/>
  <c r="AA69" i="106"/>
  <c r="AA70" i="106"/>
  <c r="AA71" i="106"/>
  <c r="AA72" i="106"/>
  <c r="AA73" i="106"/>
  <c r="AA74" i="106"/>
  <c r="AA75" i="106"/>
  <c r="AA76" i="106"/>
  <c r="AA77" i="106"/>
  <c r="AA78" i="106"/>
  <c r="AA79" i="106"/>
  <c r="AA80" i="106"/>
  <c r="AA81" i="106"/>
  <c r="AA82" i="106"/>
  <c r="AA83" i="106"/>
  <c r="AA84" i="106"/>
  <c r="AA85" i="106"/>
  <c r="AA86" i="106"/>
  <c r="AA87" i="106"/>
  <c r="AA88" i="106"/>
  <c r="AA89" i="106"/>
  <c r="AA90" i="106"/>
  <c r="AA91" i="106"/>
  <c r="AA92" i="106"/>
  <c r="AA93" i="106"/>
  <c r="AA94" i="106"/>
  <c r="AA95" i="106"/>
  <c r="AA96" i="106"/>
  <c r="AA97" i="106"/>
  <c r="AA98" i="106"/>
  <c r="AA99" i="106"/>
  <c r="AA100" i="106"/>
  <c r="AA101" i="106"/>
  <c r="AA102" i="106"/>
  <c r="AA103" i="106"/>
  <c r="AA104" i="106"/>
  <c r="AA105" i="106"/>
  <c r="AA106" i="106"/>
  <c r="AA107" i="106"/>
  <c r="AA108" i="106"/>
  <c r="AA109" i="106"/>
  <c r="AA110" i="106"/>
  <c r="AA111" i="106"/>
  <c r="AA112" i="106"/>
  <c r="AA113" i="106"/>
  <c r="AK6" i="106" l="1"/>
  <c r="BO35" i="103"/>
  <c r="BO115" i="103"/>
  <c r="BM14" i="103"/>
  <c r="BO14" i="103" s="1"/>
  <c r="BM15" i="103"/>
  <c r="BO15" i="103" s="1"/>
  <c r="BM16" i="103"/>
  <c r="BO16" i="103" s="1"/>
  <c r="BM17" i="103"/>
  <c r="BO17" i="103" s="1"/>
  <c r="BM18" i="103"/>
  <c r="BO18" i="103" s="1"/>
  <c r="BM19" i="103"/>
  <c r="BO19" i="103" s="1"/>
  <c r="BM20" i="103"/>
  <c r="BM21" i="103"/>
  <c r="BO21" i="103" s="1"/>
  <c r="BM22" i="103"/>
  <c r="BO22" i="103" s="1"/>
  <c r="BM23" i="103"/>
  <c r="BO23" i="103" s="1"/>
  <c r="BM24" i="103"/>
  <c r="BO24" i="103" s="1"/>
  <c r="BM25" i="103"/>
  <c r="BO25" i="103" s="1"/>
  <c r="BM26" i="103"/>
  <c r="BO26" i="103" s="1"/>
  <c r="BM27" i="103"/>
  <c r="BO27" i="103" s="1"/>
  <c r="BM28" i="103"/>
  <c r="BO28" i="103" s="1"/>
  <c r="BM29" i="103"/>
  <c r="BO29" i="103" s="1"/>
  <c r="BM30" i="103"/>
  <c r="BO30" i="103" s="1"/>
  <c r="BM31" i="103"/>
  <c r="BO31" i="103" s="1"/>
  <c r="BM32" i="103"/>
  <c r="BO32" i="103" s="1"/>
  <c r="BM33" i="103"/>
  <c r="BO33" i="103" s="1"/>
  <c r="BM34" i="103"/>
  <c r="BO34" i="103" s="1"/>
  <c r="BM35" i="103"/>
  <c r="BM36" i="103"/>
  <c r="BO36" i="103" s="1"/>
  <c r="BM37" i="103"/>
  <c r="BO37" i="103" s="1"/>
  <c r="BM38" i="103"/>
  <c r="BO38" i="103" s="1"/>
  <c r="BM39" i="103"/>
  <c r="BO39" i="103" s="1"/>
  <c r="BM40" i="103"/>
  <c r="BO40" i="103" s="1"/>
  <c r="BM41" i="103"/>
  <c r="BO41" i="103" s="1"/>
  <c r="BM42" i="103"/>
  <c r="BO42" i="103" s="1"/>
  <c r="BM43" i="103"/>
  <c r="BO43" i="103" s="1"/>
  <c r="BM44" i="103"/>
  <c r="BO44" i="103" s="1"/>
  <c r="BM45" i="103"/>
  <c r="BO45" i="103" s="1"/>
  <c r="BM46" i="103"/>
  <c r="BO46" i="103" s="1"/>
  <c r="BM47" i="103"/>
  <c r="BO47" i="103" s="1"/>
  <c r="BM48" i="103"/>
  <c r="BO48" i="103" s="1"/>
  <c r="BM49" i="103"/>
  <c r="BO49" i="103" s="1"/>
  <c r="BM50" i="103"/>
  <c r="BO50" i="103" s="1"/>
  <c r="BM51" i="103"/>
  <c r="BO51" i="103" s="1"/>
  <c r="BM52" i="103"/>
  <c r="BO52" i="103" s="1"/>
  <c r="BM53" i="103"/>
  <c r="BO53" i="103" s="1"/>
  <c r="BM54" i="103"/>
  <c r="BO54" i="103" s="1"/>
  <c r="BM55" i="103"/>
  <c r="BO55" i="103" s="1"/>
  <c r="BM56" i="103"/>
  <c r="BO56" i="103" s="1"/>
  <c r="BM57" i="103"/>
  <c r="BO57" i="103" s="1"/>
  <c r="BM58" i="103"/>
  <c r="BO58" i="103" s="1"/>
  <c r="BM59" i="103"/>
  <c r="BO59" i="103" s="1"/>
  <c r="BM60" i="103"/>
  <c r="BO60" i="103" s="1"/>
  <c r="BM61" i="103"/>
  <c r="BO61" i="103" s="1"/>
  <c r="BM62" i="103"/>
  <c r="BO62" i="103" s="1"/>
  <c r="BM63" i="103"/>
  <c r="BO63" i="103" s="1"/>
  <c r="BM64" i="103"/>
  <c r="BO64" i="103" s="1"/>
  <c r="BM65" i="103"/>
  <c r="BO65" i="103" s="1"/>
  <c r="BM66" i="103"/>
  <c r="BO66" i="103" s="1"/>
  <c r="BM67" i="103"/>
  <c r="BO67" i="103" s="1"/>
  <c r="BM68" i="103"/>
  <c r="BO68" i="103" s="1"/>
  <c r="BM69" i="103"/>
  <c r="BO69" i="103" s="1"/>
  <c r="BM70" i="103"/>
  <c r="BO70" i="103" s="1"/>
  <c r="BM71" i="103"/>
  <c r="BO71" i="103" s="1"/>
  <c r="BM72" i="103"/>
  <c r="BO72" i="103" s="1"/>
  <c r="BM73" i="103"/>
  <c r="BO73" i="103" s="1"/>
  <c r="BM74" i="103"/>
  <c r="BO74" i="103" s="1"/>
  <c r="BM75" i="103"/>
  <c r="BO75" i="103" s="1"/>
  <c r="BM76" i="103"/>
  <c r="BO76" i="103" s="1"/>
  <c r="BM77" i="103"/>
  <c r="BO77" i="103" s="1"/>
  <c r="BM78" i="103"/>
  <c r="BO78" i="103" s="1"/>
  <c r="BM79" i="103"/>
  <c r="BO79" i="103" s="1"/>
  <c r="BM80" i="103"/>
  <c r="BO80" i="103" s="1"/>
  <c r="BM81" i="103"/>
  <c r="BO81" i="103" s="1"/>
  <c r="BM82" i="103"/>
  <c r="BO82" i="103" s="1"/>
  <c r="BM83" i="103"/>
  <c r="BO83" i="103" s="1"/>
  <c r="BM84" i="103"/>
  <c r="BO84" i="103" s="1"/>
  <c r="BM85" i="103"/>
  <c r="BO85" i="103" s="1"/>
  <c r="BM86" i="103"/>
  <c r="BO86" i="103" s="1"/>
  <c r="BM87" i="103"/>
  <c r="BO87" i="103" s="1"/>
  <c r="BM88" i="103"/>
  <c r="BO88" i="103" s="1"/>
  <c r="BM89" i="103"/>
  <c r="BO89" i="103" s="1"/>
  <c r="BM90" i="103"/>
  <c r="BO90" i="103" s="1"/>
  <c r="BM91" i="103"/>
  <c r="BO91" i="103" s="1"/>
  <c r="BM92" i="103"/>
  <c r="BO92" i="103" s="1"/>
  <c r="BM93" i="103"/>
  <c r="BO93" i="103" s="1"/>
  <c r="BM94" i="103"/>
  <c r="BO94" i="103" s="1"/>
  <c r="BM95" i="103"/>
  <c r="BO95" i="103" s="1"/>
  <c r="BM96" i="103"/>
  <c r="BO96" i="103" s="1"/>
  <c r="BM97" i="103"/>
  <c r="BO97" i="103" s="1"/>
  <c r="BM98" i="103"/>
  <c r="BO98" i="103" s="1"/>
  <c r="BM99" i="103"/>
  <c r="BO99" i="103" s="1"/>
  <c r="BM100" i="103"/>
  <c r="BO100" i="103" s="1"/>
  <c r="BM101" i="103"/>
  <c r="BO101" i="103" s="1"/>
  <c r="BM102" i="103"/>
  <c r="BO102" i="103" s="1"/>
  <c r="BM103" i="103"/>
  <c r="BO103" i="103" s="1"/>
  <c r="BM104" i="103"/>
  <c r="BO104" i="103" s="1"/>
  <c r="BM105" i="103"/>
  <c r="BO105" i="103" s="1"/>
  <c r="BM106" i="103"/>
  <c r="BO106" i="103" s="1"/>
  <c r="BM107" i="103"/>
  <c r="BO107" i="103" s="1"/>
  <c r="BM108" i="103"/>
  <c r="BO108" i="103" s="1"/>
  <c r="BM109" i="103"/>
  <c r="BO109" i="103" s="1"/>
  <c r="BM110" i="103"/>
  <c r="BO110" i="103" s="1"/>
  <c r="BM111" i="103"/>
  <c r="BO111" i="103" s="1"/>
  <c r="BM112" i="103"/>
  <c r="BO112" i="103" s="1"/>
  <c r="BM113" i="103"/>
  <c r="BO113" i="103" s="1"/>
  <c r="BM114" i="103"/>
  <c r="BO114" i="103" s="1"/>
  <c r="BM13" i="103"/>
  <c r="BS20" i="103" l="1"/>
  <c r="BT20" i="103" s="1"/>
  <c r="BN20" i="103"/>
  <c r="AU13" i="106"/>
  <c r="BC14" i="106"/>
  <c r="BC15" i="106"/>
  <c r="BC16" i="106"/>
  <c r="BC17" i="106"/>
  <c r="BC18" i="106"/>
  <c r="BC19" i="106"/>
  <c r="BC20" i="106"/>
  <c r="BH20" i="106" s="1"/>
  <c r="BC21" i="106"/>
  <c r="BC22" i="106"/>
  <c r="BC23" i="106"/>
  <c r="BC24" i="106"/>
  <c r="BC25" i="106"/>
  <c r="BC26" i="106"/>
  <c r="BC27" i="106"/>
  <c r="BC28" i="106"/>
  <c r="BC29" i="106"/>
  <c r="BC30" i="106"/>
  <c r="BC31" i="106"/>
  <c r="BC32" i="106"/>
  <c r="BC33" i="106"/>
  <c r="BC34" i="106"/>
  <c r="BC35" i="106"/>
  <c r="BC36" i="106"/>
  <c r="BC37" i="106"/>
  <c r="BC38" i="106"/>
  <c r="BC39" i="106"/>
  <c r="BC40" i="106"/>
  <c r="BC41" i="106"/>
  <c r="BC42" i="106"/>
  <c r="BC43" i="106"/>
  <c r="BC44" i="106"/>
  <c r="BC45" i="106"/>
  <c r="BC46" i="106"/>
  <c r="BC47" i="106"/>
  <c r="BC48" i="106"/>
  <c r="BC49" i="106"/>
  <c r="BC50" i="106"/>
  <c r="BC51" i="106"/>
  <c r="BC52" i="106"/>
  <c r="BC53" i="106"/>
  <c r="BC54" i="106"/>
  <c r="BC55" i="106"/>
  <c r="BC56" i="106"/>
  <c r="BC57" i="106"/>
  <c r="BC58" i="106"/>
  <c r="BC59" i="106"/>
  <c r="BC60" i="106"/>
  <c r="BC61" i="106"/>
  <c r="BC62" i="106"/>
  <c r="BC63" i="106"/>
  <c r="BC64" i="106"/>
  <c r="BC65" i="106"/>
  <c r="BC66" i="106"/>
  <c r="BC67" i="106"/>
  <c r="BC68" i="106"/>
  <c r="BC69" i="106"/>
  <c r="BC70" i="106"/>
  <c r="BC71" i="106"/>
  <c r="BC72" i="106"/>
  <c r="BC73" i="106"/>
  <c r="BC74" i="106"/>
  <c r="BC75" i="106"/>
  <c r="BC76" i="106"/>
  <c r="BC77" i="106"/>
  <c r="BC78" i="106"/>
  <c r="BC79" i="106"/>
  <c r="BC80" i="106"/>
  <c r="BC81" i="106"/>
  <c r="BC82" i="106"/>
  <c r="BC83" i="106"/>
  <c r="BC84" i="106"/>
  <c r="BC85" i="106"/>
  <c r="BC86" i="106"/>
  <c r="BC87" i="106"/>
  <c r="BC88" i="106"/>
  <c r="BC89" i="106"/>
  <c r="BC90" i="106"/>
  <c r="BC91" i="106"/>
  <c r="BC92" i="106"/>
  <c r="BC93" i="106"/>
  <c r="BC94" i="106"/>
  <c r="BC95" i="106"/>
  <c r="BC96" i="106"/>
  <c r="BC97" i="106"/>
  <c r="BC98" i="106"/>
  <c r="BC99" i="106"/>
  <c r="BC100" i="106"/>
  <c r="BC101" i="106"/>
  <c r="BC102" i="106"/>
  <c r="BC103" i="106"/>
  <c r="BC104" i="106"/>
  <c r="BC105" i="106"/>
  <c r="BC106" i="106"/>
  <c r="BC107" i="106"/>
  <c r="BC108" i="106"/>
  <c r="BC109" i="106"/>
  <c r="BC110" i="106"/>
  <c r="BC111" i="106"/>
  <c r="BC112" i="106"/>
  <c r="BC113" i="106"/>
  <c r="BC13" i="106"/>
  <c r="BD113" i="106"/>
  <c r="BA113" i="106"/>
  <c r="AU113" i="106"/>
  <c r="AT113" i="106"/>
  <c r="BD112" i="106"/>
  <c r="BA112" i="106"/>
  <c r="AU112" i="106"/>
  <c r="AT112" i="106"/>
  <c r="BD111" i="106"/>
  <c r="BA111" i="106"/>
  <c r="AU111" i="106"/>
  <c r="AT111" i="106"/>
  <c r="BD110" i="106"/>
  <c r="BA110" i="106"/>
  <c r="AU110" i="106"/>
  <c r="AT110" i="106"/>
  <c r="BD109" i="106"/>
  <c r="BA109" i="106"/>
  <c r="AU109" i="106"/>
  <c r="AT109" i="106"/>
  <c r="BD108" i="106"/>
  <c r="BA108" i="106"/>
  <c r="AU108" i="106"/>
  <c r="AT108" i="106"/>
  <c r="BD107" i="106"/>
  <c r="BA107" i="106"/>
  <c r="AU107" i="106"/>
  <c r="AT107" i="106"/>
  <c r="BD106" i="106"/>
  <c r="BA106" i="106"/>
  <c r="AU106" i="106"/>
  <c r="AT106" i="106"/>
  <c r="BD105" i="106"/>
  <c r="BA105" i="106"/>
  <c r="AU105" i="106"/>
  <c r="AT105" i="106"/>
  <c r="BD104" i="106"/>
  <c r="BA104" i="106"/>
  <c r="AU104" i="106"/>
  <c r="AT104" i="106"/>
  <c r="BD103" i="106"/>
  <c r="BA103" i="106"/>
  <c r="AU103" i="106"/>
  <c r="AT103" i="106"/>
  <c r="BD102" i="106"/>
  <c r="BA102" i="106"/>
  <c r="AU102" i="106"/>
  <c r="AT102" i="106"/>
  <c r="BD101" i="106"/>
  <c r="BA101" i="106"/>
  <c r="AU101" i="106"/>
  <c r="AT101" i="106"/>
  <c r="BD100" i="106"/>
  <c r="BA100" i="106"/>
  <c r="AU100" i="106"/>
  <c r="AT100" i="106"/>
  <c r="BD99" i="106"/>
  <c r="BA99" i="106"/>
  <c r="AU99" i="106"/>
  <c r="AT99" i="106"/>
  <c r="BD98" i="106"/>
  <c r="BA98" i="106"/>
  <c r="AU98" i="106"/>
  <c r="AT98" i="106"/>
  <c r="BD97" i="106"/>
  <c r="BA97" i="106"/>
  <c r="AU97" i="106"/>
  <c r="AT97" i="106"/>
  <c r="BD96" i="106"/>
  <c r="BA96" i="106"/>
  <c r="AU96" i="106"/>
  <c r="AT96" i="106"/>
  <c r="BD95" i="106"/>
  <c r="BA95" i="106"/>
  <c r="AU95" i="106"/>
  <c r="AT95" i="106"/>
  <c r="BD94" i="106"/>
  <c r="BA94" i="106"/>
  <c r="AU94" i="106"/>
  <c r="AT94" i="106"/>
  <c r="BD93" i="106"/>
  <c r="BA93" i="106"/>
  <c r="AU93" i="106"/>
  <c r="AT93" i="106"/>
  <c r="BD92" i="106"/>
  <c r="BA92" i="106"/>
  <c r="AU92" i="106"/>
  <c r="AT92" i="106"/>
  <c r="BD91" i="106"/>
  <c r="BA91" i="106"/>
  <c r="AU91" i="106"/>
  <c r="AT91" i="106"/>
  <c r="BD90" i="106"/>
  <c r="BA90" i="106"/>
  <c r="AU90" i="106"/>
  <c r="AT90" i="106"/>
  <c r="BD89" i="106"/>
  <c r="BA89" i="106"/>
  <c r="AU89" i="106"/>
  <c r="AT89" i="106"/>
  <c r="BD88" i="106"/>
  <c r="BA88" i="106"/>
  <c r="AU88" i="106"/>
  <c r="AT88" i="106"/>
  <c r="BD87" i="106"/>
  <c r="BA87" i="106"/>
  <c r="AU87" i="106"/>
  <c r="AT87" i="106"/>
  <c r="BD86" i="106"/>
  <c r="BA86" i="106"/>
  <c r="AU86" i="106"/>
  <c r="AT86" i="106"/>
  <c r="BD85" i="106"/>
  <c r="BA85" i="106"/>
  <c r="AU85" i="106"/>
  <c r="AT85" i="106"/>
  <c r="BD84" i="106"/>
  <c r="BA84" i="106"/>
  <c r="AU84" i="106"/>
  <c r="AT84" i="106"/>
  <c r="BD83" i="106"/>
  <c r="BA83" i="106"/>
  <c r="AU83" i="106"/>
  <c r="AT83" i="106"/>
  <c r="BD82" i="106"/>
  <c r="BA82" i="106"/>
  <c r="AU82" i="106"/>
  <c r="AT82" i="106"/>
  <c r="BD81" i="106"/>
  <c r="BA81" i="106"/>
  <c r="AU81" i="106"/>
  <c r="AT81" i="106"/>
  <c r="BD80" i="106"/>
  <c r="BA80" i="106"/>
  <c r="AU80" i="106"/>
  <c r="AT80" i="106"/>
  <c r="BD79" i="106"/>
  <c r="BA79" i="106"/>
  <c r="AU79" i="106"/>
  <c r="AT79" i="106"/>
  <c r="BD78" i="106"/>
  <c r="BA78" i="106"/>
  <c r="AU78" i="106"/>
  <c r="AT78" i="106"/>
  <c r="BD77" i="106"/>
  <c r="BA77" i="106"/>
  <c r="AU77" i="106"/>
  <c r="AT77" i="106"/>
  <c r="BD76" i="106"/>
  <c r="BA76" i="106"/>
  <c r="AU76" i="106"/>
  <c r="AT76" i="106"/>
  <c r="BD75" i="106"/>
  <c r="BA75" i="106"/>
  <c r="AU75" i="106"/>
  <c r="AT75" i="106"/>
  <c r="BD74" i="106"/>
  <c r="BA74" i="106"/>
  <c r="AU74" i="106"/>
  <c r="AT74" i="106"/>
  <c r="BD73" i="106"/>
  <c r="BA73" i="106"/>
  <c r="AU73" i="106"/>
  <c r="AT73" i="106"/>
  <c r="BD72" i="106"/>
  <c r="BA72" i="106"/>
  <c r="AU72" i="106"/>
  <c r="AT72" i="106"/>
  <c r="BD71" i="106"/>
  <c r="BA71" i="106"/>
  <c r="AU71" i="106"/>
  <c r="AT71" i="106"/>
  <c r="BD70" i="106"/>
  <c r="BA70" i="106"/>
  <c r="AU70" i="106"/>
  <c r="AT70" i="106"/>
  <c r="BD69" i="106"/>
  <c r="BA69" i="106"/>
  <c r="AU69" i="106"/>
  <c r="AT69" i="106"/>
  <c r="BD68" i="106"/>
  <c r="BA68" i="106"/>
  <c r="AU68" i="106"/>
  <c r="AT68" i="106"/>
  <c r="BD67" i="106"/>
  <c r="BA67" i="106"/>
  <c r="AU67" i="106"/>
  <c r="AT67" i="106"/>
  <c r="BD66" i="106"/>
  <c r="BA66" i="106"/>
  <c r="AU66" i="106"/>
  <c r="AT66" i="106"/>
  <c r="BD65" i="106"/>
  <c r="BA65" i="106"/>
  <c r="AU65" i="106"/>
  <c r="AT65" i="106"/>
  <c r="BD64" i="106"/>
  <c r="BA64" i="106"/>
  <c r="AU64" i="106"/>
  <c r="AT64" i="106"/>
  <c r="BD63" i="106"/>
  <c r="BA63" i="106"/>
  <c r="AU63" i="106"/>
  <c r="AT63" i="106"/>
  <c r="BD62" i="106"/>
  <c r="BA62" i="106"/>
  <c r="AU62" i="106"/>
  <c r="AT62" i="106"/>
  <c r="BD61" i="106"/>
  <c r="BA61" i="106"/>
  <c r="AU61" i="106"/>
  <c r="AT61" i="106"/>
  <c r="BD60" i="106"/>
  <c r="BA60" i="106"/>
  <c r="AU60" i="106"/>
  <c r="AT60" i="106"/>
  <c r="BD59" i="106"/>
  <c r="BA59" i="106"/>
  <c r="AU59" i="106"/>
  <c r="AT59" i="106"/>
  <c r="BD58" i="106"/>
  <c r="BA58" i="106"/>
  <c r="AU58" i="106"/>
  <c r="AT58" i="106"/>
  <c r="BD57" i="106"/>
  <c r="BA57" i="106"/>
  <c r="AU57" i="106"/>
  <c r="AT57" i="106"/>
  <c r="BD56" i="106"/>
  <c r="BA56" i="106"/>
  <c r="AU56" i="106"/>
  <c r="AT56" i="106"/>
  <c r="BD55" i="106"/>
  <c r="BA55" i="106"/>
  <c r="AU55" i="106"/>
  <c r="AT55" i="106"/>
  <c r="BD54" i="106"/>
  <c r="BA54" i="106"/>
  <c r="AU54" i="106"/>
  <c r="AT54" i="106"/>
  <c r="BD53" i="106"/>
  <c r="BA53" i="106"/>
  <c r="AU53" i="106"/>
  <c r="AT53" i="106"/>
  <c r="BD52" i="106"/>
  <c r="BA52" i="106"/>
  <c r="AU52" i="106"/>
  <c r="AT52" i="106"/>
  <c r="BD51" i="106"/>
  <c r="BA51" i="106"/>
  <c r="AU51" i="106"/>
  <c r="AT51" i="106"/>
  <c r="BD50" i="106"/>
  <c r="BA50" i="106"/>
  <c r="AU50" i="106"/>
  <c r="AT50" i="106"/>
  <c r="BD49" i="106"/>
  <c r="BA49" i="106"/>
  <c r="AU49" i="106"/>
  <c r="AT49" i="106"/>
  <c r="BD48" i="106"/>
  <c r="BA48" i="106"/>
  <c r="AU48" i="106"/>
  <c r="AT48" i="106"/>
  <c r="BD47" i="106"/>
  <c r="BA47" i="106"/>
  <c r="AU47" i="106"/>
  <c r="AT47" i="106"/>
  <c r="BD46" i="106"/>
  <c r="BA46" i="106"/>
  <c r="AU46" i="106"/>
  <c r="AT46" i="106"/>
  <c r="BD45" i="106"/>
  <c r="BA45" i="106"/>
  <c r="AU45" i="106"/>
  <c r="AT45" i="106"/>
  <c r="BD44" i="106"/>
  <c r="BA44" i="106"/>
  <c r="AU44" i="106"/>
  <c r="AT44" i="106"/>
  <c r="BD43" i="106"/>
  <c r="BA43" i="106"/>
  <c r="AU43" i="106"/>
  <c r="AT43" i="106"/>
  <c r="BD42" i="106"/>
  <c r="BA42" i="106"/>
  <c r="AU42" i="106"/>
  <c r="AT42" i="106"/>
  <c r="BD41" i="106"/>
  <c r="BA41" i="106"/>
  <c r="AU41" i="106"/>
  <c r="AT41" i="106"/>
  <c r="BD40" i="106"/>
  <c r="BA40" i="106"/>
  <c r="AU40" i="106"/>
  <c r="AT40" i="106"/>
  <c r="BD39" i="106"/>
  <c r="BA39" i="106"/>
  <c r="AU39" i="106"/>
  <c r="AT39" i="106"/>
  <c r="BD38" i="106"/>
  <c r="BA38" i="106"/>
  <c r="AU38" i="106"/>
  <c r="AT38" i="106"/>
  <c r="BD37" i="106"/>
  <c r="BA37" i="106"/>
  <c r="AU37" i="106"/>
  <c r="AT37" i="106"/>
  <c r="BD36" i="106"/>
  <c r="BA36" i="106"/>
  <c r="AU36" i="106"/>
  <c r="AT36" i="106"/>
  <c r="BD35" i="106"/>
  <c r="BA35" i="106"/>
  <c r="AU35" i="106"/>
  <c r="AT35" i="106"/>
  <c r="BD34" i="106"/>
  <c r="BA34" i="106"/>
  <c r="AU34" i="106"/>
  <c r="AT34" i="106"/>
  <c r="BD33" i="106"/>
  <c r="BA33" i="106"/>
  <c r="AU33" i="106"/>
  <c r="AT33" i="106"/>
  <c r="BD32" i="106"/>
  <c r="BA32" i="106"/>
  <c r="AU32" i="106"/>
  <c r="AT32" i="106"/>
  <c r="BD31" i="106"/>
  <c r="BA31" i="106"/>
  <c r="AU31" i="106"/>
  <c r="AT31" i="106"/>
  <c r="BD30" i="106"/>
  <c r="BA30" i="106"/>
  <c r="AU30" i="106"/>
  <c r="AT30" i="106"/>
  <c r="BD29" i="106"/>
  <c r="BA29" i="106"/>
  <c r="AU29" i="106"/>
  <c r="AT29" i="106"/>
  <c r="BD28" i="106"/>
  <c r="BA28" i="106"/>
  <c r="AU28" i="106"/>
  <c r="AT28" i="106"/>
  <c r="BD27" i="106"/>
  <c r="BA27" i="106"/>
  <c r="AU27" i="106"/>
  <c r="AT27" i="106"/>
  <c r="BD26" i="106"/>
  <c r="BA26" i="106"/>
  <c r="AU26" i="106"/>
  <c r="AT26" i="106"/>
  <c r="BD25" i="106"/>
  <c r="BA25" i="106"/>
  <c r="AU25" i="106"/>
  <c r="AT25" i="106"/>
  <c r="BD24" i="106"/>
  <c r="BA24" i="106"/>
  <c r="AU24" i="106"/>
  <c r="AT24" i="106"/>
  <c r="BD23" i="106"/>
  <c r="BA23" i="106"/>
  <c r="AU23" i="106"/>
  <c r="AT23" i="106"/>
  <c r="BD22" i="106"/>
  <c r="BA22" i="106"/>
  <c r="AU22" i="106"/>
  <c r="AT22" i="106"/>
  <c r="BD21" i="106"/>
  <c r="BA21" i="106"/>
  <c r="AU21" i="106"/>
  <c r="AT21" i="106"/>
  <c r="BD20" i="106"/>
  <c r="BA20" i="106"/>
  <c r="AU20" i="106"/>
  <c r="AT20" i="106"/>
  <c r="BD19" i="106"/>
  <c r="BA19" i="106"/>
  <c r="AU19" i="106"/>
  <c r="AT19" i="106"/>
  <c r="BD18" i="106"/>
  <c r="BA18" i="106"/>
  <c r="AU18" i="106"/>
  <c r="AT18" i="106"/>
  <c r="BD17" i="106"/>
  <c r="BA17" i="106"/>
  <c r="AU17" i="106"/>
  <c r="AT17" i="106"/>
  <c r="BD16" i="106"/>
  <c r="BA16" i="106"/>
  <c r="AU16" i="106"/>
  <c r="AT16" i="106"/>
  <c r="BD15" i="106"/>
  <c r="BA15" i="106"/>
  <c r="AU15" i="106"/>
  <c r="AT15" i="106"/>
  <c r="BD14" i="106"/>
  <c r="BA14" i="106"/>
  <c r="AU14" i="106"/>
  <c r="AT14" i="106"/>
  <c r="BD13" i="106"/>
  <c r="BA13" i="106"/>
  <c r="AT13" i="106"/>
  <c r="L113" i="106"/>
  <c r="K113" i="106"/>
  <c r="J113" i="106"/>
  <c r="I113" i="106"/>
  <c r="H113" i="106"/>
  <c r="G113" i="106"/>
  <c r="BF113" i="106" s="1"/>
  <c r="B113" i="106"/>
  <c r="L112" i="106"/>
  <c r="K112" i="106"/>
  <c r="J112" i="106"/>
  <c r="I112" i="106"/>
  <c r="H112" i="106"/>
  <c r="G112" i="106"/>
  <c r="BF112" i="106" s="1"/>
  <c r="B112" i="106"/>
  <c r="L111" i="106"/>
  <c r="K111" i="106"/>
  <c r="BB111" i="106" s="1"/>
  <c r="J111" i="106"/>
  <c r="I111" i="106"/>
  <c r="H111" i="106"/>
  <c r="G111" i="106"/>
  <c r="BF111" i="106" s="1"/>
  <c r="B111" i="106"/>
  <c r="L110" i="106"/>
  <c r="K110" i="106"/>
  <c r="AY110" i="106" s="1"/>
  <c r="J110" i="106"/>
  <c r="I110" i="106"/>
  <c r="H110" i="106"/>
  <c r="G110" i="106"/>
  <c r="BF110" i="106" s="1"/>
  <c r="B110" i="106"/>
  <c r="L109" i="106"/>
  <c r="K109" i="106"/>
  <c r="BB109" i="106" s="1"/>
  <c r="J109" i="106"/>
  <c r="I109" i="106"/>
  <c r="H109" i="106"/>
  <c r="G109" i="106"/>
  <c r="BF109" i="106" s="1"/>
  <c r="B109" i="106"/>
  <c r="L108" i="106"/>
  <c r="K108" i="106"/>
  <c r="P108" i="106" s="1"/>
  <c r="J108" i="106"/>
  <c r="I108" i="106"/>
  <c r="H108" i="106"/>
  <c r="G108" i="106"/>
  <c r="BF108" i="106" s="1"/>
  <c r="B108" i="106"/>
  <c r="L107" i="106"/>
  <c r="K107" i="106"/>
  <c r="BB107" i="106" s="1"/>
  <c r="J107" i="106"/>
  <c r="I107" i="106"/>
  <c r="H107" i="106"/>
  <c r="G107" i="106"/>
  <c r="BF107" i="106" s="1"/>
  <c r="B107" i="106"/>
  <c r="L106" i="106"/>
  <c r="K106" i="106"/>
  <c r="P106" i="106" s="1"/>
  <c r="J106" i="106"/>
  <c r="I106" i="106"/>
  <c r="H106" i="106"/>
  <c r="G106" i="106"/>
  <c r="BF106" i="106" s="1"/>
  <c r="B106" i="106"/>
  <c r="L105" i="106"/>
  <c r="K105" i="106"/>
  <c r="J105" i="106"/>
  <c r="I105" i="106"/>
  <c r="H105" i="106"/>
  <c r="G105" i="106"/>
  <c r="BF105" i="106" s="1"/>
  <c r="B105" i="106"/>
  <c r="L104" i="106"/>
  <c r="K104" i="106"/>
  <c r="AY104" i="106" s="1"/>
  <c r="J104" i="106"/>
  <c r="I104" i="106"/>
  <c r="H104" i="106"/>
  <c r="G104" i="106"/>
  <c r="BF104" i="106" s="1"/>
  <c r="B104" i="106"/>
  <c r="L103" i="106"/>
  <c r="K103" i="106"/>
  <c r="AO103" i="106" s="1"/>
  <c r="J103" i="106"/>
  <c r="I103" i="106"/>
  <c r="H103" i="106"/>
  <c r="G103" i="106"/>
  <c r="BF103" i="106" s="1"/>
  <c r="B103" i="106"/>
  <c r="L102" i="106"/>
  <c r="AE102" i="106" s="1"/>
  <c r="K102" i="106"/>
  <c r="AO102" i="106" s="1"/>
  <c r="J102" i="106"/>
  <c r="I102" i="106"/>
  <c r="H102" i="106"/>
  <c r="G102" i="106"/>
  <c r="BF102" i="106" s="1"/>
  <c r="B102" i="106"/>
  <c r="L101" i="106"/>
  <c r="K101" i="106"/>
  <c r="AO101" i="106" s="1"/>
  <c r="AS101" i="106" s="1"/>
  <c r="J101" i="106"/>
  <c r="I101" i="106"/>
  <c r="H101" i="106"/>
  <c r="G101" i="106"/>
  <c r="BF101" i="106" s="1"/>
  <c r="B101" i="106"/>
  <c r="L100" i="106"/>
  <c r="K100" i="106"/>
  <c r="N100" i="106" s="1"/>
  <c r="N100" i="103" s="1"/>
  <c r="J100" i="106"/>
  <c r="I100" i="106"/>
  <c r="H100" i="106"/>
  <c r="G100" i="106"/>
  <c r="BF100" i="106" s="1"/>
  <c r="B100" i="106"/>
  <c r="L99" i="106"/>
  <c r="AE99" i="106" s="1"/>
  <c r="K99" i="106"/>
  <c r="BB99" i="106" s="1"/>
  <c r="J99" i="106"/>
  <c r="I99" i="106"/>
  <c r="H99" i="106"/>
  <c r="G99" i="106"/>
  <c r="BF99" i="106" s="1"/>
  <c r="B99" i="106"/>
  <c r="L98" i="106"/>
  <c r="K98" i="106"/>
  <c r="BB98" i="106" s="1"/>
  <c r="J98" i="106"/>
  <c r="I98" i="106"/>
  <c r="H98" i="106"/>
  <c r="G98" i="106"/>
  <c r="BF98" i="106" s="1"/>
  <c r="B98" i="106"/>
  <c r="L97" i="106"/>
  <c r="K97" i="106"/>
  <c r="AY97" i="106" s="1"/>
  <c r="J97" i="106"/>
  <c r="I97" i="106"/>
  <c r="H97" i="106"/>
  <c r="G97" i="106"/>
  <c r="BF97" i="106" s="1"/>
  <c r="B97" i="106"/>
  <c r="L96" i="106"/>
  <c r="AE96" i="106" s="1"/>
  <c r="K96" i="106"/>
  <c r="AY96" i="106" s="1"/>
  <c r="J96" i="106"/>
  <c r="I96" i="106"/>
  <c r="H96" i="106"/>
  <c r="G96" i="106"/>
  <c r="BF96" i="106" s="1"/>
  <c r="B96" i="106"/>
  <c r="L95" i="106"/>
  <c r="K95" i="106"/>
  <c r="AY95" i="106" s="1"/>
  <c r="J95" i="106"/>
  <c r="I95" i="106"/>
  <c r="H95" i="106"/>
  <c r="G95" i="106"/>
  <c r="BF95" i="106" s="1"/>
  <c r="B95" i="106"/>
  <c r="L94" i="106"/>
  <c r="K94" i="106"/>
  <c r="AO94" i="106" s="1"/>
  <c r="J94" i="106"/>
  <c r="I94" i="106"/>
  <c r="H94" i="106"/>
  <c r="G94" i="106"/>
  <c r="BF94" i="106" s="1"/>
  <c r="B94" i="106"/>
  <c r="L93" i="106"/>
  <c r="K93" i="106"/>
  <c r="BB93" i="106" s="1"/>
  <c r="J93" i="106"/>
  <c r="I93" i="106"/>
  <c r="H93" i="106"/>
  <c r="G93" i="106"/>
  <c r="BF93" i="106" s="1"/>
  <c r="B93" i="106"/>
  <c r="L92" i="106"/>
  <c r="K92" i="106"/>
  <c r="J92" i="106"/>
  <c r="I92" i="106"/>
  <c r="H92" i="106"/>
  <c r="G92" i="106"/>
  <c r="BF92" i="106" s="1"/>
  <c r="B92" i="106"/>
  <c r="L91" i="106"/>
  <c r="K91" i="106"/>
  <c r="AY91" i="106" s="1"/>
  <c r="J91" i="106"/>
  <c r="I91" i="106"/>
  <c r="H91" i="106"/>
  <c r="G91" i="106"/>
  <c r="BF91" i="106" s="1"/>
  <c r="B91" i="106"/>
  <c r="L90" i="106"/>
  <c r="K90" i="106"/>
  <c r="AY90" i="106" s="1"/>
  <c r="J90" i="106"/>
  <c r="I90" i="106"/>
  <c r="H90" i="106"/>
  <c r="G90" i="106"/>
  <c r="BF90" i="106" s="1"/>
  <c r="B90" i="106"/>
  <c r="L89" i="106"/>
  <c r="K89" i="106"/>
  <c r="BB89" i="106" s="1"/>
  <c r="J89" i="106"/>
  <c r="I89" i="106"/>
  <c r="H89" i="106"/>
  <c r="G89" i="106"/>
  <c r="BF89" i="106" s="1"/>
  <c r="B89" i="106"/>
  <c r="L88" i="106"/>
  <c r="K88" i="106"/>
  <c r="BB88" i="106" s="1"/>
  <c r="J88" i="106"/>
  <c r="I88" i="106"/>
  <c r="H88" i="106"/>
  <c r="G88" i="106"/>
  <c r="BF88" i="106" s="1"/>
  <c r="B88" i="106"/>
  <c r="L87" i="106"/>
  <c r="K87" i="106"/>
  <c r="AY87" i="106" s="1"/>
  <c r="J87" i="106"/>
  <c r="I87" i="106"/>
  <c r="H87" i="106"/>
  <c r="G87" i="106"/>
  <c r="BF87" i="106" s="1"/>
  <c r="B87" i="106"/>
  <c r="L86" i="106"/>
  <c r="K86" i="106"/>
  <c r="BB86" i="106" s="1"/>
  <c r="J86" i="106"/>
  <c r="I86" i="106"/>
  <c r="H86" i="106"/>
  <c r="G86" i="106"/>
  <c r="BF86" i="106" s="1"/>
  <c r="B86" i="106"/>
  <c r="L85" i="106"/>
  <c r="K85" i="106"/>
  <c r="BB85" i="106" s="1"/>
  <c r="J85" i="106"/>
  <c r="I85" i="106"/>
  <c r="H85" i="106"/>
  <c r="G85" i="106"/>
  <c r="BF85" i="106" s="1"/>
  <c r="B85" i="106"/>
  <c r="L84" i="106"/>
  <c r="K84" i="106"/>
  <c r="J84" i="106"/>
  <c r="I84" i="106"/>
  <c r="H84" i="106"/>
  <c r="G84" i="106"/>
  <c r="BF84" i="106" s="1"/>
  <c r="B84" i="106"/>
  <c r="L83" i="106"/>
  <c r="K83" i="106"/>
  <c r="J83" i="106"/>
  <c r="I83" i="106"/>
  <c r="H83" i="106"/>
  <c r="G83" i="106"/>
  <c r="BF83" i="106" s="1"/>
  <c r="B83" i="106"/>
  <c r="L82" i="106"/>
  <c r="K82" i="106"/>
  <c r="AY82" i="106" s="1"/>
  <c r="J82" i="106"/>
  <c r="I82" i="106"/>
  <c r="H82" i="106"/>
  <c r="G82" i="106"/>
  <c r="BF82" i="106" s="1"/>
  <c r="B82" i="106"/>
  <c r="AE81" i="106"/>
  <c r="L81" i="106"/>
  <c r="K81" i="106"/>
  <c r="AY81" i="106" s="1"/>
  <c r="J81" i="106"/>
  <c r="I81" i="106"/>
  <c r="H81" i="106"/>
  <c r="G81" i="106"/>
  <c r="BF81" i="106" s="1"/>
  <c r="B81" i="106"/>
  <c r="P80" i="106"/>
  <c r="L80" i="106"/>
  <c r="K80" i="106"/>
  <c r="AY80" i="106" s="1"/>
  <c r="J80" i="106"/>
  <c r="I80" i="106"/>
  <c r="H80" i="106"/>
  <c r="G80" i="106"/>
  <c r="BF80" i="106" s="1"/>
  <c r="B80" i="106"/>
  <c r="L79" i="106"/>
  <c r="K79" i="106"/>
  <c r="AY79" i="106" s="1"/>
  <c r="J79" i="106"/>
  <c r="I79" i="106"/>
  <c r="H79" i="106"/>
  <c r="G79" i="106"/>
  <c r="BF79" i="106" s="1"/>
  <c r="B79" i="106"/>
  <c r="L78" i="106"/>
  <c r="K78" i="106"/>
  <c r="AO78" i="106" s="1"/>
  <c r="AZ78" i="106" s="1"/>
  <c r="J78" i="106"/>
  <c r="I78" i="106"/>
  <c r="H78" i="106"/>
  <c r="G78" i="106"/>
  <c r="BF78" i="106" s="1"/>
  <c r="B78" i="106"/>
  <c r="L77" i="106"/>
  <c r="K77" i="106"/>
  <c r="BB77" i="106" s="1"/>
  <c r="J77" i="106"/>
  <c r="I77" i="106"/>
  <c r="H77" i="106"/>
  <c r="G77" i="106"/>
  <c r="BF77" i="106" s="1"/>
  <c r="B77" i="106"/>
  <c r="L76" i="106"/>
  <c r="K76" i="106"/>
  <c r="AO76" i="106" s="1"/>
  <c r="AS76" i="106" s="1"/>
  <c r="J76" i="106"/>
  <c r="I76" i="106"/>
  <c r="H76" i="106"/>
  <c r="G76" i="106"/>
  <c r="BF76" i="106" s="1"/>
  <c r="B76" i="106"/>
  <c r="L75" i="106"/>
  <c r="K75" i="106"/>
  <c r="J75" i="106"/>
  <c r="I75" i="106"/>
  <c r="H75" i="106"/>
  <c r="G75" i="106"/>
  <c r="BF75" i="106" s="1"/>
  <c r="B75" i="106"/>
  <c r="L74" i="106"/>
  <c r="K74" i="106"/>
  <c r="AY74" i="106" s="1"/>
  <c r="J74" i="106"/>
  <c r="I74" i="106"/>
  <c r="H74" i="106"/>
  <c r="G74" i="106"/>
  <c r="BF74" i="106" s="1"/>
  <c r="B74" i="106"/>
  <c r="L73" i="106"/>
  <c r="K73" i="106"/>
  <c r="J73" i="106"/>
  <c r="I73" i="106"/>
  <c r="H73" i="106"/>
  <c r="G73" i="106"/>
  <c r="BF73" i="106" s="1"/>
  <c r="B73" i="106"/>
  <c r="L72" i="106"/>
  <c r="K72" i="106"/>
  <c r="BB72" i="106" s="1"/>
  <c r="J72" i="106"/>
  <c r="I72" i="106"/>
  <c r="H72" i="106"/>
  <c r="G72" i="106"/>
  <c r="BF72" i="106" s="1"/>
  <c r="B72" i="106"/>
  <c r="L71" i="106"/>
  <c r="K71" i="106"/>
  <c r="AO71" i="106" s="1"/>
  <c r="J71" i="106"/>
  <c r="I71" i="106"/>
  <c r="H71" i="106"/>
  <c r="G71" i="106"/>
  <c r="BF71" i="106" s="1"/>
  <c r="B71" i="106"/>
  <c r="L70" i="106"/>
  <c r="K70" i="106"/>
  <c r="J70" i="106"/>
  <c r="I70" i="106"/>
  <c r="H70" i="106"/>
  <c r="G70" i="106"/>
  <c r="BF70" i="106" s="1"/>
  <c r="B70" i="106"/>
  <c r="L69" i="106"/>
  <c r="K69" i="106"/>
  <c r="BB69" i="106" s="1"/>
  <c r="J69" i="106"/>
  <c r="I69" i="106"/>
  <c r="H69" i="106"/>
  <c r="G69" i="106"/>
  <c r="BF69" i="106" s="1"/>
  <c r="B69" i="106"/>
  <c r="L68" i="106"/>
  <c r="K68" i="106"/>
  <c r="AY68" i="106" s="1"/>
  <c r="J68" i="106"/>
  <c r="I68" i="106"/>
  <c r="H68" i="106"/>
  <c r="G68" i="106"/>
  <c r="BF68" i="106" s="1"/>
  <c r="B68" i="106"/>
  <c r="L67" i="106"/>
  <c r="K67" i="106"/>
  <c r="AY67" i="106" s="1"/>
  <c r="J67" i="106"/>
  <c r="I67" i="106"/>
  <c r="H67" i="106"/>
  <c r="G67" i="106"/>
  <c r="BF67" i="106" s="1"/>
  <c r="B67" i="106"/>
  <c r="L66" i="106"/>
  <c r="K66" i="106"/>
  <c r="J66" i="106"/>
  <c r="I66" i="106"/>
  <c r="H66" i="106"/>
  <c r="G66" i="106"/>
  <c r="BF66" i="106" s="1"/>
  <c r="B66" i="106"/>
  <c r="L65" i="106"/>
  <c r="K65" i="106"/>
  <c r="AY65" i="106" s="1"/>
  <c r="J65" i="106"/>
  <c r="I65" i="106"/>
  <c r="H65" i="106"/>
  <c r="G65" i="106"/>
  <c r="BF65" i="106" s="1"/>
  <c r="B65" i="106"/>
  <c r="L64" i="106"/>
  <c r="K64" i="106"/>
  <c r="P64" i="106" s="1"/>
  <c r="J64" i="106"/>
  <c r="I64" i="106"/>
  <c r="H64" i="106"/>
  <c r="G64" i="106"/>
  <c r="BF64" i="106" s="1"/>
  <c r="B64" i="106"/>
  <c r="N63" i="106"/>
  <c r="N63" i="103" s="1"/>
  <c r="L63" i="106"/>
  <c r="K63" i="106"/>
  <c r="BB63" i="106" s="1"/>
  <c r="J63" i="106"/>
  <c r="I63" i="106"/>
  <c r="H63" i="106"/>
  <c r="G63" i="106"/>
  <c r="BF63" i="106" s="1"/>
  <c r="B63" i="106"/>
  <c r="L62" i="106"/>
  <c r="K62" i="106"/>
  <c r="AY62" i="106" s="1"/>
  <c r="J62" i="106"/>
  <c r="I62" i="106"/>
  <c r="H62" i="106"/>
  <c r="G62" i="106"/>
  <c r="BF62" i="106" s="1"/>
  <c r="B62" i="106"/>
  <c r="L61" i="106"/>
  <c r="K61" i="106"/>
  <c r="AY61" i="106" s="1"/>
  <c r="J61" i="106"/>
  <c r="I61" i="106"/>
  <c r="H61" i="106"/>
  <c r="G61" i="106"/>
  <c r="BF61" i="106" s="1"/>
  <c r="B61" i="106"/>
  <c r="L60" i="106"/>
  <c r="K60" i="106"/>
  <c r="AY60" i="106" s="1"/>
  <c r="J60" i="106"/>
  <c r="I60" i="106"/>
  <c r="H60" i="106"/>
  <c r="G60" i="106"/>
  <c r="BF60" i="106" s="1"/>
  <c r="B60" i="106"/>
  <c r="L59" i="106"/>
  <c r="K59" i="106"/>
  <c r="J59" i="106"/>
  <c r="I59" i="106"/>
  <c r="H59" i="106"/>
  <c r="G59" i="106"/>
  <c r="BF59" i="106" s="1"/>
  <c r="B59" i="106"/>
  <c r="L58" i="106"/>
  <c r="K58" i="106"/>
  <c r="AY58" i="106" s="1"/>
  <c r="J58" i="106"/>
  <c r="I58" i="106"/>
  <c r="H58" i="106"/>
  <c r="G58" i="106"/>
  <c r="BF58" i="106" s="1"/>
  <c r="B58" i="106"/>
  <c r="L57" i="106"/>
  <c r="K57" i="106"/>
  <c r="AY57" i="106" s="1"/>
  <c r="J57" i="106"/>
  <c r="I57" i="106"/>
  <c r="H57" i="106"/>
  <c r="G57" i="106"/>
  <c r="BF57" i="106" s="1"/>
  <c r="B57" i="106"/>
  <c r="L56" i="106"/>
  <c r="K56" i="106"/>
  <c r="BB56" i="106" s="1"/>
  <c r="J56" i="106"/>
  <c r="I56" i="106"/>
  <c r="H56" i="106"/>
  <c r="G56" i="106"/>
  <c r="BF56" i="106" s="1"/>
  <c r="B56" i="106"/>
  <c r="L55" i="106"/>
  <c r="K55" i="106"/>
  <c r="AY55" i="106" s="1"/>
  <c r="J55" i="106"/>
  <c r="I55" i="106"/>
  <c r="H55" i="106"/>
  <c r="G55" i="106"/>
  <c r="BF55" i="106" s="1"/>
  <c r="B55" i="106"/>
  <c r="L54" i="106"/>
  <c r="K54" i="106"/>
  <c r="J54" i="106"/>
  <c r="I54" i="106"/>
  <c r="H54" i="106"/>
  <c r="G54" i="106"/>
  <c r="BF54" i="106" s="1"/>
  <c r="B54" i="106"/>
  <c r="L53" i="106"/>
  <c r="K53" i="106"/>
  <c r="AY53" i="106" s="1"/>
  <c r="J53" i="106"/>
  <c r="I53" i="106"/>
  <c r="H53" i="106"/>
  <c r="G53" i="106"/>
  <c r="BF53" i="106" s="1"/>
  <c r="B53" i="106"/>
  <c r="L52" i="106"/>
  <c r="K52" i="106"/>
  <c r="J52" i="106"/>
  <c r="I52" i="106"/>
  <c r="H52" i="106"/>
  <c r="G52" i="106"/>
  <c r="BF52" i="106" s="1"/>
  <c r="B52" i="106"/>
  <c r="L51" i="106"/>
  <c r="K51" i="106"/>
  <c r="J51" i="106"/>
  <c r="I51" i="106"/>
  <c r="H51" i="106"/>
  <c r="G51" i="106"/>
  <c r="BF51" i="106" s="1"/>
  <c r="B51" i="106"/>
  <c r="N50" i="106"/>
  <c r="N50" i="103" s="1"/>
  <c r="L50" i="106"/>
  <c r="K50" i="106"/>
  <c r="AY50" i="106" s="1"/>
  <c r="J50" i="106"/>
  <c r="I50" i="106"/>
  <c r="H50" i="106"/>
  <c r="G50" i="106"/>
  <c r="BF50" i="106" s="1"/>
  <c r="B50" i="106"/>
  <c r="L49" i="106"/>
  <c r="K49" i="106"/>
  <c r="BB49" i="106" s="1"/>
  <c r="J49" i="106"/>
  <c r="I49" i="106"/>
  <c r="H49" i="106"/>
  <c r="G49" i="106"/>
  <c r="BF49" i="106" s="1"/>
  <c r="B49" i="106"/>
  <c r="L48" i="106"/>
  <c r="AE48" i="106" s="1"/>
  <c r="K48" i="106"/>
  <c r="AY48" i="106" s="1"/>
  <c r="J48" i="106"/>
  <c r="I48" i="106"/>
  <c r="H48" i="106"/>
  <c r="G48" i="106"/>
  <c r="BF48" i="106" s="1"/>
  <c r="B48" i="106"/>
  <c r="L47" i="106"/>
  <c r="K47" i="106"/>
  <c r="AY47" i="106" s="1"/>
  <c r="J47" i="106"/>
  <c r="I47" i="106"/>
  <c r="H47" i="106"/>
  <c r="G47" i="106"/>
  <c r="BF47" i="106" s="1"/>
  <c r="B47" i="106"/>
  <c r="L46" i="106"/>
  <c r="K46" i="106"/>
  <c r="P46" i="106" s="1"/>
  <c r="J46" i="106"/>
  <c r="I46" i="106"/>
  <c r="H46" i="106"/>
  <c r="G46" i="106"/>
  <c r="BF46" i="106" s="1"/>
  <c r="B46" i="106"/>
  <c r="L45" i="106"/>
  <c r="K45" i="106"/>
  <c r="J45" i="106"/>
  <c r="I45" i="106"/>
  <c r="H45" i="106"/>
  <c r="G45" i="106"/>
  <c r="BF45" i="106" s="1"/>
  <c r="B45" i="106"/>
  <c r="L44" i="106"/>
  <c r="K44" i="106"/>
  <c r="AY44" i="106" s="1"/>
  <c r="J44" i="106"/>
  <c r="I44" i="106"/>
  <c r="H44" i="106"/>
  <c r="G44" i="106"/>
  <c r="BF44" i="106" s="1"/>
  <c r="B44" i="106"/>
  <c r="L43" i="106"/>
  <c r="K43" i="106"/>
  <c r="J43" i="106"/>
  <c r="I43" i="106"/>
  <c r="H43" i="106"/>
  <c r="G43" i="106"/>
  <c r="BF43" i="106" s="1"/>
  <c r="B43" i="106"/>
  <c r="L42" i="106"/>
  <c r="AE42" i="106" s="1"/>
  <c r="K42" i="106"/>
  <c r="BB42" i="106" s="1"/>
  <c r="J42" i="106"/>
  <c r="I42" i="106"/>
  <c r="H42" i="106"/>
  <c r="G42" i="106"/>
  <c r="BF42" i="106" s="1"/>
  <c r="B42" i="106"/>
  <c r="L41" i="106"/>
  <c r="K41" i="106"/>
  <c r="AY41" i="106" s="1"/>
  <c r="J41" i="106"/>
  <c r="I41" i="106"/>
  <c r="H41" i="106"/>
  <c r="G41" i="106"/>
  <c r="BF41" i="106" s="1"/>
  <c r="B41" i="106"/>
  <c r="L40" i="106"/>
  <c r="K40" i="106"/>
  <c r="J40" i="106"/>
  <c r="I40" i="106"/>
  <c r="H40" i="106"/>
  <c r="G40" i="106"/>
  <c r="BF40" i="106" s="1"/>
  <c r="B40" i="106"/>
  <c r="L39" i="106"/>
  <c r="K39" i="106"/>
  <c r="AY39" i="106" s="1"/>
  <c r="J39" i="106"/>
  <c r="I39" i="106"/>
  <c r="H39" i="106"/>
  <c r="G39" i="106"/>
  <c r="BF39" i="106" s="1"/>
  <c r="B39" i="106"/>
  <c r="L38" i="106"/>
  <c r="K38" i="106"/>
  <c r="BB38" i="106" s="1"/>
  <c r="J38" i="106"/>
  <c r="I38" i="106"/>
  <c r="H38" i="106"/>
  <c r="G38" i="106"/>
  <c r="BF38" i="106" s="1"/>
  <c r="B38" i="106"/>
  <c r="L37" i="106"/>
  <c r="AE37" i="106" s="1"/>
  <c r="K37" i="106"/>
  <c r="AO37" i="106" s="1"/>
  <c r="AS37" i="106" s="1"/>
  <c r="J37" i="106"/>
  <c r="I37" i="106"/>
  <c r="H37" i="106"/>
  <c r="G37" i="106"/>
  <c r="BF37" i="106" s="1"/>
  <c r="B37" i="106"/>
  <c r="L36" i="106"/>
  <c r="K36" i="106"/>
  <c r="AY36" i="106" s="1"/>
  <c r="J36" i="106"/>
  <c r="I36" i="106"/>
  <c r="H36" i="106"/>
  <c r="G36" i="106"/>
  <c r="BF36" i="106" s="1"/>
  <c r="B36" i="106"/>
  <c r="L35" i="106"/>
  <c r="K35" i="106"/>
  <c r="J35" i="106"/>
  <c r="I35" i="106"/>
  <c r="H35" i="106"/>
  <c r="G35" i="106"/>
  <c r="BF35" i="106" s="1"/>
  <c r="B35" i="106"/>
  <c r="P34" i="106"/>
  <c r="L34" i="106"/>
  <c r="K34" i="106"/>
  <c r="BB34" i="106" s="1"/>
  <c r="J34" i="106"/>
  <c r="I34" i="106"/>
  <c r="H34" i="106"/>
  <c r="G34" i="106"/>
  <c r="BF34" i="106" s="1"/>
  <c r="B34" i="106"/>
  <c r="L33" i="106"/>
  <c r="K33" i="106"/>
  <c r="AY33" i="106" s="1"/>
  <c r="J33" i="106"/>
  <c r="I33" i="106"/>
  <c r="H33" i="106"/>
  <c r="G33" i="106"/>
  <c r="BF33" i="106" s="1"/>
  <c r="B33" i="106"/>
  <c r="L32" i="106"/>
  <c r="K32" i="106"/>
  <c r="BB32" i="106" s="1"/>
  <c r="J32" i="106"/>
  <c r="I32" i="106"/>
  <c r="H32" i="106"/>
  <c r="G32" i="106"/>
  <c r="BF32" i="106" s="1"/>
  <c r="B32" i="106"/>
  <c r="L31" i="106"/>
  <c r="K31" i="106"/>
  <c r="BB31" i="106" s="1"/>
  <c r="J31" i="106"/>
  <c r="I31" i="106"/>
  <c r="H31" i="106"/>
  <c r="G31" i="106"/>
  <c r="BF31" i="106" s="1"/>
  <c r="B31" i="106"/>
  <c r="L30" i="106"/>
  <c r="K30" i="106"/>
  <c r="AO30" i="106" s="1"/>
  <c r="AS30" i="106" s="1"/>
  <c r="J30" i="106"/>
  <c r="I30" i="106"/>
  <c r="H30" i="106"/>
  <c r="G30" i="106"/>
  <c r="BF30" i="106" s="1"/>
  <c r="B30" i="106"/>
  <c r="L29" i="106"/>
  <c r="K29" i="106"/>
  <c r="J29" i="106"/>
  <c r="I29" i="106"/>
  <c r="H29" i="106"/>
  <c r="G29" i="106"/>
  <c r="BF29" i="106" s="1"/>
  <c r="B29" i="106"/>
  <c r="L28" i="106"/>
  <c r="K28" i="106"/>
  <c r="J28" i="106"/>
  <c r="I28" i="106"/>
  <c r="H28" i="106"/>
  <c r="G28" i="106"/>
  <c r="BF28" i="106" s="1"/>
  <c r="B28" i="106"/>
  <c r="L27" i="106"/>
  <c r="K27" i="106"/>
  <c r="AY27" i="106" s="1"/>
  <c r="J27" i="106"/>
  <c r="I27" i="106"/>
  <c r="H27" i="106"/>
  <c r="G27" i="106"/>
  <c r="BF27" i="106" s="1"/>
  <c r="B27" i="106"/>
  <c r="L26" i="106"/>
  <c r="AE26" i="106" s="1"/>
  <c r="K26" i="106"/>
  <c r="BB26" i="106" s="1"/>
  <c r="J26" i="106"/>
  <c r="I26" i="106"/>
  <c r="H26" i="106"/>
  <c r="G26" i="106"/>
  <c r="BF26" i="106" s="1"/>
  <c r="B26" i="106"/>
  <c r="L25" i="106"/>
  <c r="K25" i="106"/>
  <c r="AY25" i="106" s="1"/>
  <c r="J25" i="106"/>
  <c r="I25" i="106"/>
  <c r="H25" i="106"/>
  <c r="G25" i="106"/>
  <c r="BF25" i="106" s="1"/>
  <c r="B25" i="106"/>
  <c r="L24" i="106"/>
  <c r="K24" i="106"/>
  <c r="AO24" i="106" s="1"/>
  <c r="AS24" i="106" s="1"/>
  <c r="J24" i="106"/>
  <c r="I24" i="106"/>
  <c r="H24" i="106"/>
  <c r="G24" i="106"/>
  <c r="BF24" i="106" s="1"/>
  <c r="B24" i="106"/>
  <c r="L23" i="106"/>
  <c r="K23" i="106"/>
  <c r="J23" i="106"/>
  <c r="I23" i="106"/>
  <c r="H23" i="106"/>
  <c r="G23" i="106"/>
  <c r="BF23" i="106" s="1"/>
  <c r="B23" i="106"/>
  <c r="L22" i="106"/>
  <c r="K22" i="106"/>
  <c r="AY22" i="106" s="1"/>
  <c r="J22" i="106"/>
  <c r="I22" i="106"/>
  <c r="H22" i="106"/>
  <c r="G22" i="106"/>
  <c r="BF22" i="106" s="1"/>
  <c r="B22" i="106"/>
  <c r="K21" i="106"/>
  <c r="BB21" i="106" s="1"/>
  <c r="J21" i="106"/>
  <c r="I21" i="106"/>
  <c r="H21" i="106"/>
  <c r="G21" i="106"/>
  <c r="BF21" i="106" s="1"/>
  <c r="B21" i="106"/>
  <c r="K20" i="106"/>
  <c r="BB20" i="106" s="1"/>
  <c r="J20" i="106"/>
  <c r="I20" i="106"/>
  <c r="H20" i="106"/>
  <c r="G20" i="106"/>
  <c r="BF20" i="106" s="1"/>
  <c r="B20" i="106"/>
  <c r="AA19" i="106"/>
  <c r="L19" i="106"/>
  <c r="K19" i="106"/>
  <c r="N19" i="106" s="1"/>
  <c r="N19" i="103" s="1"/>
  <c r="J19" i="106"/>
  <c r="I19" i="106"/>
  <c r="H19" i="106"/>
  <c r="G19" i="106"/>
  <c r="BF19" i="106" s="1"/>
  <c r="B19" i="106"/>
  <c r="AA18" i="106"/>
  <c r="L18" i="106"/>
  <c r="K18" i="106"/>
  <c r="AO18" i="106" s="1"/>
  <c r="J18" i="106"/>
  <c r="I18" i="106"/>
  <c r="H18" i="106"/>
  <c r="G18" i="106"/>
  <c r="BF18" i="106" s="1"/>
  <c r="B18" i="106"/>
  <c r="AA17" i="106"/>
  <c r="L17" i="106"/>
  <c r="K17" i="106"/>
  <c r="BB17" i="106" s="1"/>
  <c r="J17" i="106"/>
  <c r="I17" i="106"/>
  <c r="H17" i="106"/>
  <c r="G17" i="106"/>
  <c r="BF17" i="106" s="1"/>
  <c r="B17" i="106"/>
  <c r="AA16" i="106"/>
  <c r="L16" i="106"/>
  <c r="AE16" i="106" s="1"/>
  <c r="K16" i="106"/>
  <c r="AO16" i="106" s="1"/>
  <c r="AS16" i="106" s="1"/>
  <c r="J16" i="106"/>
  <c r="I16" i="106"/>
  <c r="H16" i="106"/>
  <c r="G16" i="106"/>
  <c r="BF16" i="106" s="1"/>
  <c r="B16" i="106"/>
  <c r="AA15" i="106"/>
  <c r="L15" i="106"/>
  <c r="K15" i="106"/>
  <c r="N15" i="106" s="1"/>
  <c r="N15" i="103" s="1"/>
  <c r="J15" i="106"/>
  <c r="I15" i="106"/>
  <c r="H15" i="106"/>
  <c r="G15" i="106"/>
  <c r="BF15" i="106" s="1"/>
  <c r="B15" i="106"/>
  <c r="AA14" i="106"/>
  <c r="L14" i="106"/>
  <c r="K14" i="106"/>
  <c r="AO14" i="106" s="1"/>
  <c r="AS14" i="106" s="1"/>
  <c r="J14" i="106"/>
  <c r="I14" i="106"/>
  <c r="H14" i="106"/>
  <c r="G14" i="106"/>
  <c r="BF14" i="106" s="1"/>
  <c r="B14" i="106"/>
  <c r="AA13" i="106"/>
  <c r="L13" i="106"/>
  <c r="K13" i="106"/>
  <c r="BH13" i="106" s="1"/>
  <c r="J13" i="106"/>
  <c r="I13" i="106"/>
  <c r="H13" i="106"/>
  <c r="G13" i="106"/>
  <c r="BF13" i="106" s="1"/>
  <c r="B13" i="106"/>
  <c r="D3" i="106"/>
  <c r="AK1" i="106"/>
  <c r="AA132" i="105"/>
  <c r="T132" i="105"/>
  <c r="BA93" i="105"/>
  <c r="BA72" i="105"/>
  <c r="BA68" i="105"/>
  <c r="Q24" i="105"/>
  <c r="Z12" i="105"/>
  <c r="L12" i="105"/>
  <c r="H11" i="105"/>
  <c r="H10" i="105"/>
  <c r="H9" i="105"/>
  <c r="H8" i="105"/>
  <c r="I7" i="105"/>
  <c r="H6" i="105"/>
  <c r="H5" i="105"/>
  <c r="AF1" i="105"/>
  <c r="AK6" i="103"/>
  <c r="AM21" i="103"/>
  <c r="AM22" i="103"/>
  <c r="AM23" i="103"/>
  <c r="AM24" i="103"/>
  <c r="AM25" i="103"/>
  <c r="AM26" i="103"/>
  <c r="AM27" i="103"/>
  <c r="AM28" i="103"/>
  <c r="AM29" i="103"/>
  <c r="AM30" i="103"/>
  <c r="AM31" i="103"/>
  <c r="AM32" i="103"/>
  <c r="AM33" i="103"/>
  <c r="AM34" i="103"/>
  <c r="AM35" i="103"/>
  <c r="AM36" i="103"/>
  <c r="AM37" i="103"/>
  <c r="AM38" i="103"/>
  <c r="AM39" i="103"/>
  <c r="AM40" i="103"/>
  <c r="AM41" i="103"/>
  <c r="AM42" i="103"/>
  <c r="AM43" i="103"/>
  <c r="AM44" i="103"/>
  <c r="AM45" i="103"/>
  <c r="AM46" i="103"/>
  <c r="AM47" i="103"/>
  <c r="AM48" i="103"/>
  <c r="AM49" i="103"/>
  <c r="AM50" i="103"/>
  <c r="AM51" i="103"/>
  <c r="AM52" i="103"/>
  <c r="AM53" i="103"/>
  <c r="AM54" i="103"/>
  <c r="AM55" i="103"/>
  <c r="AM56" i="103"/>
  <c r="AM57" i="103"/>
  <c r="AM58" i="103"/>
  <c r="AM59" i="103"/>
  <c r="AM60" i="103"/>
  <c r="AM61" i="103"/>
  <c r="AM62" i="103"/>
  <c r="AM63" i="103"/>
  <c r="AM64" i="103"/>
  <c r="AM65" i="103"/>
  <c r="AM66" i="103"/>
  <c r="AM67" i="103"/>
  <c r="AM68" i="103"/>
  <c r="AM69" i="103"/>
  <c r="AM70" i="103"/>
  <c r="AM71" i="103"/>
  <c r="AM72" i="103"/>
  <c r="AM73" i="103"/>
  <c r="AM74" i="103"/>
  <c r="AM75" i="103"/>
  <c r="AM76" i="103"/>
  <c r="AM77" i="103"/>
  <c r="AM78" i="103"/>
  <c r="AM79" i="103"/>
  <c r="AM80" i="103"/>
  <c r="AM81" i="103"/>
  <c r="AM82" i="103"/>
  <c r="AM83" i="103"/>
  <c r="AM84" i="103"/>
  <c r="AM85" i="103"/>
  <c r="AM86" i="103"/>
  <c r="AM87" i="103"/>
  <c r="AM88" i="103"/>
  <c r="AM89" i="103"/>
  <c r="AM90" i="103"/>
  <c r="AM91" i="103"/>
  <c r="AM92" i="103"/>
  <c r="AM93" i="103"/>
  <c r="AM94" i="103"/>
  <c r="AM95" i="103"/>
  <c r="AM96" i="103"/>
  <c r="AM97" i="103"/>
  <c r="AM98" i="103"/>
  <c r="AM99" i="103"/>
  <c r="AM100" i="103"/>
  <c r="AM101" i="103"/>
  <c r="AM102" i="103"/>
  <c r="AM103" i="103"/>
  <c r="AM104" i="103"/>
  <c r="AM105" i="103"/>
  <c r="AM106" i="103"/>
  <c r="AM107" i="103"/>
  <c r="AM108" i="103"/>
  <c r="AM109" i="103"/>
  <c r="AM110" i="103"/>
  <c r="AM111" i="103"/>
  <c r="AM112" i="103"/>
  <c r="AM113" i="103"/>
  <c r="AU13" i="103"/>
  <c r="AP114" i="103"/>
  <c r="BV20" i="103" l="1"/>
  <c r="BV11" i="103" s="1"/>
  <c r="BU20" i="103"/>
  <c r="BJ20" i="106"/>
  <c r="BI20" i="106"/>
  <c r="AO13" i="106"/>
  <c r="AZ13" i="106" s="1"/>
  <c r="N74" i="106"/>
  <c r="N74" i="103" s="1"/>
  <c r="N88" i="106"/>
  <c r="N88" i="103" s="1"/>
  <c r="P74" i="106"/>
  <c r="AD74" i="106" s="1"/>
  <c r="N18" i="106"/>
  <c r="N18" i="103" s="1"/>
  <c r="N110" i="106"/>
  <c r="N110" i="103" s="1"/>
  <c r="AE70" i="106"/>
  <c r="P18" i="106"/>
  <c r="AC18" i="106" s="1"/>
  <c r="N79" i="106"/>
  <c r="N79" i="103" s="1"/>
  <c r="N108" i="106"/>
  <c r="N108" i="103" s="1"/>
  <c r="AE79" i="106"/>
  <c r="AO109" i="106"/>
  <c r="AS109" i="106" s="1"/>
  <c r="P33" i="106"/>
  <c r="AC33" i="106" s="1"/>
  <c r="N34" i="106"/>
  <c r="N34" i="103" s="1"/>
  <c r="P36" i="106"/>
  <c r="AC36" i="106" s="1"/>
  <c r="N37" i="106"/>
  <c r="N37" i="103" s="1"/>
  <c r="N47" i="106"/>
  <c r="N47" i="103" s="1"/>
  <c r="P48" i="106"/>
  <c r="AE88" i="106"/>
  <c r="AY16" i="106"/>
  <c r="AO88" i="106"/>
  <c r="AS88" i="106" s="1"/>
  <c r="BB103" i="106"/>
  <c r="AS94" i="106"/>
  <c r="AM94" i="106"/>
  <c r="AZ94" i="106"/>
  <c r="AR102" i="106"/>
  <c r="AS102" i="106"/>
  <c r="AM102" i="106"/>
  <c r="AZ102" i="106"/>
  <c r="AS18" i="106"/>
  <c r="AM18" i="106"/>
  <c r="AZ18" i="106"/>
  <c r="AQ102" i="106"/>
  <c r="P25" i="106"/>
  <c r="N27" i="106"/>
  <c r="N27" i="103" s="1"/>
  <c r="N71" i="106"/>
  <c r="N71" i="103" s="1"/>
  <c r="N86" i="106"/>
  <c r="N86" i="103" s="1"/>
  <c r="P98" i="106"/>
  <c r="N99" i="106"/>
  <c r="N99" i="103" s="1"/>
  <c r="AR103" i="106"/>
  <c r="AS103" i="106"/>
  <c r="AV14" i="106"/>
  <c r="AY15" i="106"/>
  <c r="BB16" i="106"/>
  <c r="BB36" i="106"/>
  <c r="BB39" i="106"/>
  <c r="BB74" i="106"/>
  <c r="AY85" i="106"/>
  <c r="BB97" i="106"/>
  <c r="AO106" i="106"/>
  <c r="BE13" i="106"/>
  <c r="BE106" i="106"/>
  <c r="BE98" i="106"/>
  <c r="BE90" i="106"/>
  <c r="BE82" i="106"/>
  <c r="BE74" i="106"/>
  <c r="BE66" i="106"/>
  <c r="BE58" i="106"/>
  <c r="BE50" i="106"/>
  <c r="BE42" i="106"/>
  <c r="BE34" i="106"/>
  <c r="BE26" i="106"/>
  <c r="BE18" i="106"/>
  <c r="AZ30" i="106"/>
  <c r="AE89" i="106"/>
  <c r="P14" i="106"/>
  <c r="N22" i="106"/>
  <c r="N22" i="103" s="1"/>
  <c r="N55" i="106"/>
  <c r="N55" i="103" s="1"/>
  <c r="P56" i="106"/>
  <c r="AC56" i="106" s="1"/>
  <c r="AE66" i="106"/>
  <c r="N67" i="106"/>
  <c r="P99" i="106"/>
  <c r="AC99" i="106" s="1"/>
  <c r="N101" i="106"/>
  <c r="N101" i="103" s="1"/>
  <c r="N102" i="106"/>
  <c r="N102" i="103" s="1"/>
  <c r="AY14" i="106"/>
  <c r="BB47" i="106"/>
  <c r="BB50" i="106"/>
  <c r="BB71" i="106"/>
  <c r="AY76" i="106"/>
  <c r="AY88" i="106"/>
  <c r="AY109" i="106"/>
  <c r="BE113" i="106"/>
  <c r="BE105" i="106"/>
  <c r="BE97" i="106"/>
  <c r="BE89" i="106"/>
  <c r="BE81" i="106"/>
  <c r="BE73" i="106"/>
  <c r="BE65" i="106"/>
  <c r="BE57" i="106"/>
  <c r="BE49" i="106"/>
  <c r="BE41" i="106"/>
  <c r="BE33" i="106"/>
  <c r="BE25" i="106"/>
  <c r="AZ101" i="106"/>
  <c r="AZ37" i="106"/>
  <c r="AM24" i="106"/>
  <c r="AR71" i="106"/>
  <c r="AS71" i="106"/>
  <c r="AE86" i="106"/>
  <c r="P22" i="106"/>
  <c r="P67" i="106"/>
  <c r="AC67" i="106" s="1"/>
  <c r="AP78" i="106"/>
  <c r="AS78" i="106"/>
  <c r="BB15" i="106"/>
  <c r="AO17" i="106"/>
  <c r="AV17" i="106" s="1"/>
  <c r="BB55" i="106"/>
  <c r="BB61" i="106"/>
  <c r="BB80" i="106"/>
  <c r="AY93" i="106"/>
  <c r="AO95" i="106"/>
  <c r="AR95" i="106" s="1"/>
  <c r="AO111" i="106"/>
  <c r="AR111" i="106" s="1"/>
  <c r="BE112" i="106"/>
  <c r="BE104" i="106"/>
  <c r="BE96" i="106"/>
  <c r="BE88" i="106"/>
  <c r="BE80" i="106"/>
  <c r="BE72" i="106"/>
  <c r="BE64" i="106"/>
  <c r="BE56" i="106"/>
  <c r="BE48" i="106"/>
  <c r="BE40" i="106"/>
  <c r="BE32" i="106"/>
  <c r="BE24" i="106"/>
  <c r="AZ76" i="106"/>
  <c r="AM103" i="106"/>
  <c r="AM71" i="106"/>
  <c r="AE82" i="106"/>
  <c r="BB33" i="106"/>
  <c r="BB41" i="106"/>
  <c r="BB76" i="106"/>
  <c r="BB101" i="106"/>
  <c r="BE111" i="106"/>
  <c r="BE103" i="106"/>
  <c r="BE95" i="106"/>
  <c r="BE87" i="106"/>
  <c r="BE79" i="106"/>
  <c r="BE71" i="106"/>
  <c r="BE63" i="106"/>
  <c r="BE55" i="106"/>
  <c r="BE47" i="106"/>
  <c r="BE39" i="106"/>
  <c r="BE31" i="106"/>
  <c r="BE23" i="106"/>
  <c r="BE15" i="106"/>
  <c r="AM78" i="106"/>
  <c r="AM30" i="106"/>
  <c r="AO15" i="106"/>
  <c r="AP15" i="106" s="1"/>
  <c r="AV37" i="106"/>
  <c r="AW37" i="106" s="1"/>
  <c r="AO39" i="106"/>
  <c r="AP39" i="106" s="1"/>
  <c r="AO47" i="106"/>
  <c r="AL47" i="106" s="1"/>
  <c r="AO50" i="106"/>
  <c r="AL50" i="106" s="1"/>
  <c r="BB67" i="106"/>
  <c r="AO74" i="106"/>
  <c r="AR74" i="106" s="1"/>
  <c r="AY78" i="106"/>
  <c r="AO97" i="106"/>
  <c r="AV97" i="106" s="1"/>
  <c r="AW97" i="106" s="1"/>
  <c r="AY98" i="106"/>
  <c r="BE110" i="106"/>
  <c r="BE102" i="106"/>
  <c r="BE94" i="106"/>
  <c r="BE86" i="106"/>
  <c r="BE78" i="106"/>
  <c r="BE70" i="106"/>
  <c r="BE62" i="106"/>
  <c r="BE54" i="106"/>
  <c r="BE46" i="106"/>
  <c r="BE38" i="106"/>
  <c r="BE30" i="106"/>
  <c r="BE22" i="106"/>
  <c r="BE14" i="106"/>
  <c r="AM101" i="106"/>
  <c r="AM37" i="106"/>
  <c r="P50" i="106"/>
  <c r="AD50" i="106" s="1"/>
  <c r="P61" i="106"/>
  <c r="AC61" i="106" s="1"/>
  <c r="AE110" i="106"/>
  <c r="AE111" i="106"/>
  <c r="AO21" i="106"/>
  <c r="AV21" i="106" s="1"/>
  <c r="AW21" i="106" s="1"/>
  <c r="BB22" i="106"/>
  <c r="BB25" i="106"/>
  <c r="AY32" i="106"/>
  <c r="AY37" i="106"/>
  <c r="AO55" i="106"/>
  <c r="AV55" i="106" s="1"/>
  <c r="AO80" i="106"/>
  <c r="AV80" i="106" s="1"/>
  <c r="AW80" i="106" s="1"/>
  <c r="BE109" i="106"/>
  <c r="BE101" i="106"/>
  <c r="BE93" i="106"/>
  <c r="BE85" i="106"/>
  <c r="BE77" i="106"/>
  <c r="BE69" i="106"/>
  <c r="BE61" i="106"/>
  <c r="BE53" i="106"/>
  <c r="BE45" i="106"/>
  <c r="BE37" i="106"/>
  <c r="BE29" i="106"/>
  <c r="BE21" i="106"/>
  <c r="AZ16" i="106"/>
  <c r="AM76" i="106"/>
  <c r="AO31" i="106"/>
  <c r="AV31" i="106" s="1"/>
  <c r="AO61" i="106"/>
  <c r="AL61" i="106" s="1"/>
  <c r="BE108" i="106"/>
  <c r="BE100" i="106"/>
  <c r="BE92" i="106"/>
  <c r="BE84" i="106"/>
  <c r="BE76" i="106"/>
  <c r="BE68" i="106"/>
  <c r="BE60" i="106"/>
  <c r="BE52" i="106"/>
  <c r="BE44" i="106"/>
  <c r="BE36" i="106"/>
  <c r="BE28" i="106"/>
  <c r="BE20" i="106"/>
  <c r="AZ24" i="106"/>
  <c r="AO41" i="106"/>
  <c r="AR41" i="106" s="1"/>
  <c r="AO49" i="106"/>
  <c r="AP49" i="106" s="1"/>
  <c r="AO58" i="106"/>
  <c r="AP58" i="106" s="1"/>
  <c r="AY71" i="106"/>
  <c r="BB81" i="106"/>
  <c r="BE107" i="106"/>
  <c r="BE99" i="106"/>
  <c r="BE91" i="106"/>
  <c r="BE83" i="106"/>
  <c r="BE75" i="106"/>
  <c r="BE67" i="106"/>
  <c r="BE59" i="106"/>
  <c r="BE51" i="106"/>
  <c r="BE43" i="106"/>
  <c r="BE35" i="106"/>
  <c r="BE27" i="106"/>
  <c r="BE19" i="106"/>
  <c r="AZ103" i="106"/>
  <c r="AZ71" i="106"/>
  <c r="AZ14" i="106"/>
  <c r="BE17" i="106"/>
  <c r="BE16" i="106"/>
  <c r="AY20" i="106"/>
  <c r="AO20" i="106"/>
  <c r="AP20" i="106" s="1"/>
  <c r="AY13" i="106"/>
  <c r="BB13" i="106"/>
  <c r="P13" i="106"/>
  <c r="AC13" i="106" s="1"/>
  <c r="AK127" i="105"/>
  <c r="AK154" i="105" s="1"/>
  <c r="AK115" i="105"/>
  <c r="AK153" i="105" s="1"/>
  <c r="R131" i="105"/>
  <c r="AV24" i="106"/>
  <c r="AO43" i="106"/>
  <c r="AY43" i="106"/>
  <c r="BB51" i="106"/>
  <c r="AO51" i="106"/>
  <c r="AE52" i="106"/>
  <c r="AY84" i="106"/>
  <c r="P84" i="106"/>
  <c r="AC84" i="106" s="1"/>
  <c r="N84" i="106"/>
  <c r="N84" i="103" s="1"/>
  <c r="BB19" i="106"/>
  <c r="BB83" i="106"/>
  <c r="P83" i="106"/>
  <c r="AC83" i="106" s="1"/>
  <c r="AE64" i="106"/>
  <c r="BB66" i="106"/>
  <c r="AY66" i="106"/>
  <c r="P66" i="106"/>
  <c r="N66" i="106"/>
  <c r="N66" i="103" s="1"/>
  <c r="AP101" i="106"/>
  <c r="AV101" i="106"/>
  <c r="AW101" i="106" s="1"/>
  <c r="AO29" i="106"/>
  <c r="BB29" i="106"/>
  <c r="AY29" i="106"/>
  <c r="N83" i="106"/>
  <c r="N83" i="103" s="1"/>
  <c r="BB45" i="106"/>
  <c r="AY45" i="106"/>
  <c r="N45" i="106"/>
  <c r="N45" i="103" s="1"/>
  <c r="BB92" i="106"/>
  <c r="AO92" i="106"/>
  <c r="AV92" i="106" s="1"/>
  <c r="AW92" i="106" s="1"/>
  <c r="AY92" i="106"/>
  <c r="P92" i="106"/>
  <c r="N92" i="106"/>
  <c r="N92" i="103" s="1"/>
  <c r="AY64" i="106"/>
  <c r="P44" i="106"/>
  <c r="AC44" i="106" s="1"/>
  <c r="AE113" i="106"/>
  <c r="AO38" i="106"/>
  <c r="AR38" i="106" s="1"/>
  <c r="AO83" i="106"/>
  <c r="AP83" i="106" s="1"/>
  <c r="AO84" i="106"/>
  <c r="AP84" i="106" s="1"/>
  <c r="AO91" i="106"/>
  <c r="AP91" i="106" s="1"/>
  <c r="AR101" i="106"/>
  <c r="N58" i="106"/>
  <c r="N58" i="103" s="1"/>
  <c r="AY59" i="106"/>
  <c r="P59" i="106"/>
  <c r="N59" i="106"/>
  <c r="N59" i="103" s="1"/>
  <c r="AO59" i="106"/>
  <c r="P70" i="106"/>
  <c r="AC70" i="106" s="1"/>
  <c r="BB70" i="106"/>
  <c r="AY70" i="106"/>
  <c r="N85" i="106"/>
  <c r="N85" i="103" s="1"/>
  <c r="P86" i="106"/>
  <c r="AY86" i="106"/>
  <c r="AO86" i="106"/>
  <c r="AE91" i="106"/>
  <c r="BB105" i="106"/>
  <c r="AO105" i="106"/>
  <c r="BB106" i="106"/>
  <c r="AY106" i="106"/>
  <c r="AO81" i="106"/>
  <c r="AL81" i="106" s="1"/>
  <c r="AY52" i="106"/>
  <c r="BB52" i="106"/>
  <c r="AO54" i="106"/>
  <c r="AR54" i="106" s="1"/>
  <c r="P54" i="106"/>
  <c r="AC54" i="106" s="1"/>
  <c r="AO75" i="106"/>
  <c r="BB75" i="106"/>
  <c r="AY75" i="106"/>
  <c r="BB91" i="106"/>
  <c r="AY28" i="106"/>
  <c r="AO28" i="106"/>
  <c r="AP28" i="106" s="1"/>
  <c r="BB28" i="106"/>
  <c r="N43" i="106"/>
  <c r="N43" i="103" s="1"/>
  <c r="AE63" i="106"/>
  <c r="AY111" i="106"/>
  <c r="AO19" i="106"/>
  <c r="AL19" i="106" s="1"/>
  <c r="P43" i="106"/>
  <c r="AC43" i="106" s="1"/>
  <c r="N75" i="106"/>
  <c r="N75" i="103" s="1"/>
  <c r="AE84" i="106"/>
  <c r="AO45" i="106"/>
  <c r="BB23" i="106"/>
  <c r="AO23" i="106"/>
  <c r="AV23" i="106" s="1"/>
  <c r="N29" i="106"/>
  <c r="N29" i="103" s="1"/>
  <c r="AO69" i="106"/>
  <c r="AY69" i="106"/>
  <c r="P75" i="106"/>
  <c r="AD75" i="106" s="1"/>
  <c r="BB18" i="106"/>
  <c r="AY18" i="106"/>
  <c r="AO26" i="106"/>
  <c r="AL26" i="106" s="1"/>
  <c r="AY26" i="106"/>
  <c r="P26" i="106"/>
  <c r="AC26" i="106" s="1"/>
  <c r="N26" i="106"/>
  <c r="N26" i="103" s="1"/>
  <c r="AY34" i="106"/>
  <c r="AO34" i="106"/>
  <c r="N38" i="106"/>
  <c r="N38" i="103" s="1"/>
  <c r="AO40" i="106"/>
  <c r="AR40" i="106" s="1"/>
  <c r="BB40" i="106"/>
  <c r="AY40" i="106"/>
  <c r="P42" i="106"/>
  <c r="N42" i="106"/>
  <c r="N42" i="103" s="1"/>
  <c r="AO42" i="106"/>
  <c r="AQ42" i="106" s="1"/>
  <c r="P58" i="106"/>
  <c r="AC58" i="106" s="1"/>
  <c r="P85" i="106"/>
  <c r="AO87" i="106"/>
  <c r="P87" i="106"/>
  <c r="AC87" i="106" s="1"/>
  <c r="BB87" i="106"/>
  <c r="AY99" i="106"/>
  <c r="AO99" i="106"/>
  <c r="AL99" i="106" s="1"/>
  <c r="AC106" i="106"/>
  <c r="AY107" i="106"/>
  <c r="P107" i="106"/>
  <c r="AC107" i="106" s="1"/>
  <c r="AO107" i="106"/>
  <c r="N107" i="106"/>
  <c r="N107" i="103" s="1"/>
  <c r="AJ10" i="106"/>
  <c r="AY17" i="106"/>
  <c r="AY19" i="106"/>
  <c r="AO25" i="106"/>
  <c r="AR25" i="106" s="1"/>
  <c r="AY42" i="106"/>
  <c r="BB43" i="106"/>
  <c r="AY49" i="106"/>
  <c r="BB58" i="106"/>
  <c r="BB65" i="106"/>
  <c r="AO70" i="106"/>
  <c r="AP70" i="106" s="1"/>
  <c r="AY105" i="106"/>
  <c r="BB35" i="106"/>
  <c r="AO35" i="106"/>
  <c r="N35" i="106"/>
  <c r="N35" i="103" s="1"/>
  <c r="AO53" i="106"/>
  <c r="AP53" i="106" s="1"/>
  <c r="BB53" i="106"/>
  <c r="N53" i="106"/>
  <c r="N53" i="103" s="1"/>
  <c r="BB64" i="106"/>
  <c r="AO64" i="106"/>
  <c r="AR64" i="106" s="1"/>
  <c r="BB100" i="106"/>
  <c r="AO100" i="106"/>
  <c r="AR100" i="106" s="1"/>
  <c r="P100" i="106"/>
  <c r="AC100" i="106" s="1"/>
  <c r="AO52" i="106"/>
  <c r="AR52" i="106" s="1"/>
  <c r="BB90" i="106"/>
  <c r="AO90" i="106"/>
  <c r="AV90" i="106" s="1"/>
  <c r="BB54" i="106"/>
  <c r="AO66" i="106"/>
  <c r="BB44" i="106"/>
  <c r="AO44" i="106"/>
  <c r="AP44" i="106" s="1"/>
  <c r="AY35" i="106"/>
  <c r="AY51" i="106"/>
  <c r="AE29" i="106"/>
  <c r="BB30" i="106"/>
  <c r="AY30" i="106"/>
  <c r="P30" i="106"/>
  <c r="N30" i="106"/>
  <c r="N30" i="103" s="1"/>
  <c r="BB57" i="106"/>
  <c r="AO57" i="106"/>
  <c r="AP76" i="106"/>
  <c r="N76" i="106"/>
  <c r="N76" i="103" s="1"/>
  <c r="N91" i="106"/>
  <c r="N91" i="103" s="1"/>
  <c r="AO112" i="106"/>
  <c r="BB112" i="106"/>
  <c r="AY112" i="106"/>
  <c r="AO113" i="106"/>
  <c r="BB113" i="106"/>
  <c r="BB84" i="106"/>
  <c r="AY113" i="106"/>
  <c r="AY24" i="106"/>
  <c r="BB24" i="106"/>
  <c r="AE45" i="106"/>
  <c r="AE58" i="106"/>
  <c r="BB68" i="106"/>
  <c r="AO68" i="106"/>
  <c r="AE76" i="106"/>
  <c r="AQ76" i="106" s="1"/>
  <c r="P91" i="106"/>
  <c r="AC91" i="106" s="1"/>
  <c r="BB104" i="106"/>
  <c r="AO104" i="106"/>
  <c r="AE18" i="106"/>
  <c r="AQ18" i="106" s="1"/>
  <c r="AE24" i="106"/>
  <c r="AQ24" i="106" s="1"/>
  <c r="AE32" i="106"/>
  <c r="AE34" i="106"/>
  <c r="AC34" i="106"/>
  <c r="P38" i="106"/>
  <c r="AE40" i="106"/>
  <c r="BB62" i="106"/>
  <c r="AO62" i="106"/>
  <c r="AR62" i="106" s="1"/>
  <c r="AY63" i="106"/>
  <c r="AO63" i="106"/>
  <c r="AE69" i="106"/>
  <c r="AO72" i="106"/>
  <c r="AL72" i="106" s="1"/>
  <c r="AY72" i="106"/>
  <c r="P72" i="106"/>
  <c r="AC72" i="106" s="1"/>
  <c r="BB73" i="106"/>
  <c r="AO73" i="106"/>
  <c r="AL73" i="106" s="1"/>
  <c r="P73" i="106"/>
  <c r="AC73" i="106" s="1"/>
  <c r="N73" i="106"/>
  <c r="N73" i="103" s="1"/>
  <c r="AC80" i="106"/>
  <c r="BB82" i="106"/>
  <c r="AO82" i="106"/>
  <c r="AV82" i="106" s="1"/>
  <c r="AE97" i="106"/>
  <c r="AE104" i="106"/>
  <c r="AE105" i="106"/>
  <c r="AY23" i="106"/>
  <c r="AY38" i="106"/>
  <c r="AY54" i="106"/>
  <c r="BB59" i="106"/>
  <c r="AO65" i="106"/>
  <c r="AY73" i="106"/>
  <c r="AY83" i="106"/>
  <c r="AO85" i="106"/>
  <c r="AY100" i="106"/>
  <c r="AY103" i="106"/>
  <c r="AO46" i="106"/>
  <c r="BB46" i="106"/>
  <c r="AE54" i="106"/>
  <c r="AE59" i="106"/>
  <c r="AE71" i="106"/>
  <c r="AQ71" i="106" s="1"/>
  <c r="AO77" i="106"/>
  <c r="AY77" i="106"/>
  <c r="BB79" i="106"/>
  <c r="AO79" i="106"/>
  <c r="AV79" i="106" s="1"/>
  <c r="AO108" i="106"/>
  <c r="AL108" i="106" s="1"/>
  <c r="BB108" i="106"/>
  <c r="BB14" i="106"/>
  <c r="AO22" i="106"/>
  <c r="AV22" i="106" s="1"/>
  <c r="AV29" i="106"/>
  <c r="AW29" i="106" s="1"/>
  <c r="AO32" i="106"/>
  <c r="BB37" i="106"/>
  <c r="AY46" i="106"/>
  <c r="BB48" i="106"/>
  <c r="AO67" i="106"/>
  <c r="AV67" i="106" s="1"/>
  <c r="BB78" i="106"/>
  <c r="AO93" i="106"/>
  <c r="BB95" i="106"/>
  <c r="AO98" i="106"/>
  <c r="AY101" i="106"/>
  <c r="AE53" i="106"/>
  <c r="AE83" i="106"/>
  <c r="BB94" i="106"/>
  <c r="AY94" i="106"/>
  <c r="BB96" i="106"/>
  <c r="AO96" i="106"/>
  <c r="AR96" i="106" s="1"/>
  <c r="BB102" i="106"/>
  <c r="AY102" i="106"/>
  <c r="AO27" i="106"/>
  <c r="AV27" i="106" s="1"/>
  <c r="BB27" i="106"/>
  <c r="AV30" i="106"/>
  <c r="AW30" i="106" s="1"/>
  <c r="AO33" i="106"/>
  <c r="AR33" i="106" s="1"/>
  <c r="AO48" i="106"/>
  <c r="AQ48" i="106" s="1"/>
  <c r="AE14" i="106"/>
  <c r="AQ14" i="106" s="1"/>
  <c r="AE36" i="106"/>
  <c r="AO56" i="106"/>
  <c r="AL56" i="106" s="1"/>
  <c r="AY56" i="106"/>
  <c r="BB60" i="106"/>
  <c r="AO60" i="106"/>
  <c r="AR60" i="106" s="1"/>
  <c r="AO89" i="106"/>
  <c r="AY89" i="106"/>
  <c r="AE107" i="106"/>
  <c r="BB110" i="106"/>
  <c r="AO110" i="106"/>
  <c r="AV110" i="106" s="1"/>
  <c r="AK5" i="106"/>
  <c r="AY21" i="106"/>
  <c r="AY31" i="106"/>
  <c r="AO36" i="106"/>
  <c r="AP36" i="106" s="1"/>
  <c r="AY108" i="106"/>
  <c r="AV71" i="106"/>
  <c r="AW71" i="106" s="1"/>
  <c r="AV76" i="106"/>
  <c r="AW76" i="106" s="1"/>
  <c r="AV83" i="106"/>
  <c r="AW83" i="106" s="1"/>
  <c r="AV91" i="106"/>
  <c r="AW91" i="106" s="1"/>
  <c r="AV103" i="106"/>
  <c r="AW103" i="106" s="1"/>
  <c r="AH10" i="106"/>
  <c r="AW14" i="106"/>
  <c r="AR18" i="106"/>
  <c r="AP18" i="106"/>
  <c r="AV18" i="106"/>
  <c r="AV16" i="106"/>
  <c r="AQ16" i="106"/>
  <c r="AP16" i="106"/>
  <c r="AR16" i="106"/>
  <c r="AR37" i="106"/>
  <c r="AR78" i="106"/>
  <c r="AP37" i="106"/>
  <c r="AP106" i="106"/>
  <c r="AP24" i="106"/>
  <c r="AQ37" i="106"/>
  <c r="AR14" i="106"/>
  <c r="AP14" i="106"/>
  <c r="AR30" i="106"/>
  <c r="AP30" i="106"/>
  <c r="AV78" i="106"/>
  <c r="AR24" i="106"/>
  <c r="AR29" i="106"/>
  <c r="AR86" i="106"/>
  <c r="AP94" i="106"/>
  <c r="AV102" i="106"/>
  <c r="AV94" i="106"/>
  <c r="AP71" i="106"/>
  <c r="AR83" i="106"/>
  <c r="AR94" i="106"/>
  <c r="AP102" i="106"/>
  <c r="AP103" i="106"/>
  <c r="AR76" i="106"/>
  <c r="AE15" i="106"/>
  <c r="P16" i="106"/>
  <c r="AC16" i="106" s="1"/>
  <c r="N16" i="106"/>
  <c r="N16" i="103" s="1"/>
  <c r="AE19" i="106"/>
  <c r="P21" i="106"/>
  <c r="AE28" i="106"/>
  <c r="AE43" i="106"/>
  <c r="AE46" i="106"/>
  <c r="AC46" i="106"/>
  <c r="P17" i="106"/>
  <c r="P28" i="106"/>
  <c r="AC28" i="106" s="1"/>
  <c r="AE51" i="106"/>
  <c r="AE56" i="106"/>
  <c r="N60" i="106"/>
  <c r="N60" i="103" s="1"/>
  <c r="AE60" i="106"/>
  <c r="P60" i="106"/>
  <c r="AC60" i="106" s="1"/>
  <c r="N21" i="106"/>
  <c r="N21" i="103" s="1"/>
  <c r="AE22" i="106"/>
  <c r="AE44" i="106"/>
  <c r="AE13" i="106"/>
  <c r="AE35" i="106"/>
  <c r="P39" i="106"/>
  <c r="N39" i="106"/>
  <c r="N39" i="103" s="1"/>
  <c r="AE62" i="106"/>
  <c r="P62" i="106"/>
  <c r="N62" i="106"/>
  <c r="N62" i="103" s="1"/>
  <c r="AL18" i="106"/>
  <c r="N20" i="106"/>
  <c r="N20" i="103" s="1"/>
  <c r="AE27" i="106"/>
  <c r="P31" i="106"/>
  <c r="N31" i="106"/>
  <c r="N31" i="103" s="1"/>
  <c r="AE39" i="106"/>
  <c r="N49" i="106"/>
  <c r="N49" i="103" s="1"/>
  <c r="P15" i="106"/>
  <c r="AD15" i="106" s="1"/>
  <c r="AC14" i="106"/>
  <c r="P23" i="106"/>
  <c r="N23" i="106"/>
  <c r="N23" i="103" s="1"/>
  <c r="AC25" i="106"/>
  <c r="AE31" i="106"/>
  <c r="AL37" i="106"/>
  <c r="AE38" i="106"/>
  <c r="N17" i="106"/>
  <c r="N17" i="103" s="1"/>
  <c r="AE17" i="106"/>
  <c r="N28" i="106"/>
  <c r="N28" i="103" s="1"/>
  <c r="N13" i="106"/>
  <c r="N14" i="106"/>
  <c r="N14" i="103" s="1"/>
  <c r="P20" i="106"/>
  <c r="AE23" i="106"/>
  <c r="AL29" i="106"/>
  <c r="AE30" i="106"/>
  <c r="AQ30" i="106" s="1"/>
  <c r="N36" i="106"/>
  <c r="P49" i="106"/>
  <c r="AE49" i="106"/>
  <c r="AE65" i="106"/>
  <c r="P65" i="106"/>
  <c r="N65" i="106"/>
  <c r="N65" i="103" s="1"/>
  <c r="P19" i="106"/>
  <c r="AD19" i="106" s="1"/>
  <c r="P27" i="106"/>
  <c r="AD27" i="106" s="1"/>
  <c r="AL30" i="106"/>
  <c r="P35" i="106"/>
  <c r="N44" i="106"/>
  <c r="P47" i="106"/>
  <c r="AE47" i="106"/>
  <c r="AC48" i="106"/>
  <c r="P51" i="106"/>
  <c r="AC51" i="106" s="1"/>
  <c r="N51" i="106"/>
  <c r="N51" i="103" s="1"/>
  <c r="P68" i="106"/>
  <c r="AC68" i="106" s="1"/>
  <c r="AE68" i="106"/>
  <c r="N68" i="106"/>
  <c r="N68" i="103" s="1"/>
  <c r="AL102" i="106"/>
  <c r="AE25" i="106"/>
  <c r="P29" i="106"/>
  <c r="AC29" i="106" s="1"/>
  <c r="AE33" i="106"/>
  <c r="P37" i="106"/>
  <c r="AC37" i="106" s="1"/>
  <c r="AE41" i="106"/>
  <c r="P52" i="106"/>
  <c r="AC52" i="106" s="1"/>
  <c r="N52" i="106"/>
  <c r="N52" i="103" s="1"/>
  <c r="N57" i="106"/>
  <c r="N57" i="103" s="1"/>
  <c r="AE57" i="106"/>
  <c r="AE93" i="106"/>
  <c r="N24" i="106"/>
  <c r="N24" i="103" s="1"/>
  <c r="N32" i="106"/>
  <c r="N32" i="103" s="1"/>
  <c r="N40" i="106"/>
  <c r="N40" i="103" s="1"/>
  <c r="N41" i="106"/>
  <c r="N41" i="103" s="1"/>
  <c r="AE50" i="106"/>
  <c r="AE55" i="106"/>
  <c r="P24" i="106"/>
  <c r="AC24" i="106" s="1"/>
  <c r="N25" i="106"/>
  <c r="P32" i="106"/>
  <c r="AC32" i="106" s="1"/>
  <c r="N33" i="106"/>
  <c r="P40" i="106"/>
  <c r="AC40" i="106" s="1"/>
  <c r="P41" i="106"/>
  <c r="P57" i="106"/>
  <c r="AE61" i="106"/>
  <c r="P69" i="106"/>
  <c r="AC69" i="106" s="1"/>
  <c r="N69" i="106"/>
  <c r="N69" i="103" s="1"/>
  <c r="AE77" i="106"/>
  <c r="P78" i="106"/>
  <c r="N78" i="106"/>
  <c r="N78" i="103" s="1"/>
  <c r="AE80" i="106"/>
  <c r="AE87" i="106"/>
  <c r="AC64" i="106"/>
  <c r="AE72" i="106"/>
  <c r="AL76" i="106"/>
  <c r="N109" i="106"/>
  <c r="N109" i="103" s="1"/>
  <c r="P109" i="106"/>
  <c r="AC109" i="106" s="1"/>
  <c r="P45" i="106"/>
  <c r="N46" i="106"/>
  <c r="P53" i="106"/>
  <c r="N54" i="106"/>
  <c r="AE103" i="106"/>
  <c r="AQ103" i="106" s="1"/>
  <c r="AE74" i="106"/>
  <c r="P77" i="106"/>
  <c r="N77" i="106"/>
  <c r="N77" i="103" s="1"/>
  <c r="N82" i="106"/>
  <c r="N82" i="103" s="1"/>
  <c r="P82" i="106"/>
  <c r="AC82" i="106" s="1"/>
  <c r="N48" i="106"/>
  <c r="P55" i="106"/>
  <c r="N56" i="106"/>
  <c r="N61" i="106"/>
  <c r="P76" i="106"/>
  <c r="AC76" i="106" s="1"/>
  <c r="AE78" i="106"/>
  <c r="AQ78" i="106" s="1"/>
  <c r="AL94" i="106"/>
  <c r="AE67" i="106"/>
  <c r="N70" i="106"/>
  <c r="AL71" i="106"/>
  <c r="AE75" i="106"/>
  <c r="AE94" i="106"/>
  <c r="AQ94" i="106" s="1"/>
  <c r="AL101" i="106"/>
  <c r="P95" i="106"/>
  <c r="AC95" i="106" s="1"/>
  <c r="N95" i="106"/>
  <c r="N95" i="103" s="1"/>
  <c r="P112" i="106"/>
  <c r="N112" i="106"/>
  <c r="N112" i="103" s="1"/>
  <c r="AE112" i="106"/>
  <c r="N87" i="106"/>
  <c r="AE92" i="106"/>
  <c r="AC92" i="106"/>
  <c r="P94" i="106"/>
  <c r="P103" i="106"/>
  <c r="AC103" i="106" s="1"/>
  <c r="N103" i="106"/>
  <c r="AL106" i="106"/>
  <c r="P88" i="106"/>
  <c r="N93" i="106"/>
  <c r="N93" i="103" s="1"/>
  <c r="N94" i="106"/>
  <c r="N94" i="103" s="1"/>
  <c r="AE95" i="106"/>
  <c r="AE100" i="106"/>
  <c r="P102" i="106"/>
  <c r="AD102" i="106" s="1"/>
  <c r="AE109" i="106"/>
  <c r="AE73" i="106"/>
  <c r="P81" i="106"/>
  <c r="N90" i="106"/>
  <c r="N90" i="103" s="1"/>
  <c r="AE90" i="106"/>
  <c r="P93" i="106"/>
  <c r="AC93" i="106" s="1"/>
  <c r="P96" i="106"/>
  <c r="N96" i="106"/>
  <c r="N96" i="103" s="1"/>
  <c r="AE101" i="106"/>
  <c r="AQ101" i="106" s="1"/>
  <c r="AE108" i="106"/>
  <c r="AD108" i="106"/>
  <c r="AC108" i="106"/>
  <c r="P63" i="106"/>
  <c r="N64" i="106"/>
  <c r="P71" i="106"/>
  <c r="N72" i="106"/>
  <c r="P79" i="106"/>
  <c r="N80" i="106"/>
  <c r="N81" i="106"/>
  <c r="N81" i="103" s="1"/>
  <c r="AL83" i="106"/>
  <c r="AE85" i="106"/>
  <c r="P90" i="106"/>
  <c r="P101" i="106"/>
  <c r="P104" i="106"/>
  <c r="N104" i="106"/>
  <c r="N104" i="103" s="1"/>
  <c r="P110" i="106"/>
  <c r="AE98" i="106"/>
  <c r="AE106" i="106"/>
  <c r="AQ106" i="106" s="1"/>
  <c r="N111" i="106"/>
  <c r="N111" i="103" s="1"/>
  <c r="P111" i="106"/>
  <c r="N89" i="106"/>
  <c r="N89" i="103" s="1"/>
  <c r="N97" i="106"/>
  <c r="N97" i="103" s="1"/>
  <c r="N105" i="106"/>
  <c r="N105" i="103" s="1"/>
  <c r="N113" i="106"/>
  <c r="N113" i="103" s="1"/>
  <c r="P89" i="106"/>
  <c r="AC89" i="106" s="1"/>
  <c r="P97" i="106"/>
  <c r="N98" i="106"/>
  <c r="N98" i="103" s="1"/>
  <c r="P105" i="106"/>
  <c r="N106" i="106"/>
  <c r="P113" i="106"/>
  <c r="AC113" i="106" s="1"/>
  <c r="AD100" i="106" l="1"/>
  <c r="AL38" i="106"/>
  <c r="AC74" i="106"/>
  <c r="AR17" i="106"/>
  <c r="AP17" i="106"/>
  <c r="AP74" i="106"/>
  <c r="AQ17" i="106"/>
  <c r="AV109" i="106"/>
  <c r="AW109" i="106" s="1"/>
  <c r="AS13" i="106"/>
  <c r="AQ107" i="106"/>
  <c r="AQ83" i="106"/>
  <c r="AP13" i="106"/>
  <c r="AV13" i="106"/>
  <c r="AW13" i="106" s="1"/>
  <c r="AR21" i="106"/>
  <c r="AZ109" i="106"/>
  <c r="AQ13" i="106"/>
  <c r="AR13" i="106"/>
  <c r="AQ113" i="106"/>
  <c r="AV58" i="106"/>
  <c r="AQ109" i="106"/>
  <c r="AR88" i="106"/>
  <c r="AP38" i="106"/>
  <c r="AQ32" i="106"/>
  <c r="AP109" i="106"/>
  <c r="AD92" i="106"/>
  <c r="AQ85" i="106"/>
  <c r="AQ33" i="106"/>
  <c r="AZ88" i="106"/>
  <c r="AV38" i="106"/>
  <c r="AR109" i="106"/>
  <c r="AD59" i="106"/>
  <c r="AQ38" i="106"/>
  <c r="AQ23" i="106"/>
  <c r="AM109" i="106"/>
  <c r="AV62" i="106"/>
  <c r="AQ108" i="106"/>
  <c r="AP99" i="106"/>
  <c r="AR84" i="106"/>
  <c r="AR36" i="106"/>
  <c r="AV99" i="106"/>
  <c r="AW99" i="106" s="1"/>
  <c r="AP88" i="106"/>
  <c r="AL53" i="106"/>
  <c r="AR108" i="106"/>
  <c r="AR99" i="106"/>
  <c r="AQ87" i="106"/>
  <c r="AV61" i="106"/>
  <c r="AW61" i="106" s="1"/>
  <c r="AD110" i="106"/>
  <c r="AQ19" i="106"/>
  <c r="AQ99" i="106"/>
  <c r="AQ69" i="106"/>
  <c r="AD42" i="106"/>
  <c r="AD26" i="106"/>
  <c r="AD22" i="106"/>
  <c r="AQ61" i="106"/>
  <c r="AQ39" i="106"/>
  <c r="AQ62" i="106"/>
  <c r="AP61" i="106"/>
  <c r="AQ67" i="106"/>
  <c r="AP67" i="106"/>
  <c r="AQ111" i="106"/>
  <c r="AP52" i="106"/>
  <c r="AP62" i="106"/>
  <c r="AD30" i="106"/>
  <c r="AQ73" i="106"/>
  <c r="AR80" i="106"/>
  <c r="AQ84" i="106"/>
  <c r="AQ31" i="106"/>
  <c r="AP41" i="106"/>
  <c r="AV47" i="106"/>
  <c r="AW47" i="106" s="1"/>
  <c r="AD76" i="106"/>
  <c r="AP26" i="106"/>
  <c r="AQ26" i="106"/>
  <c r="AV96" i="106"/>
  <c r="AW96" i="106" s="1"/>
  <c r="AP95" i="106"/>
  <c r="AR26" i="106"/>
  <c r="AP22" i="106"/>
  <c r="AQ91" i="106"/>
  <c r="AD18" i="106"/>
  <c r="AD107" i="106"/>
  <c r="AQ105" i="106"/>
  <c r="AD34" i="106"/>
  <c r="AP47" i="106"/>
  <c r="AV88" i="106"/>
  <c r="AW88" i="106" s="1"/>
  <c r="AQ88" i="106"/>
  <c r="AQ95" i="106"/>
  <c r="AV39" i="106"/>
  <c r="AV95" i="106"/>
  <c r="AW95" i="106" s="1"/>
  <c r="AQ47" i="106"/>
  <c r="AV84" i="106"/>
  <c r="AW84" i="106" s="1"/>
  <c r="AQ53" i="106"/>
  <c r="AR39" i="106"/>
  <c r="AM88" i="106"/>
  <c r="BI13" i="106"/>
  <c r="BI11" i="106" s="1"/>
  <c r="BJ13" i="106"/>
  <c r="BJ11" i="106" s="1"/>
  <c r="AQ93" i="106"/>
  <c r="AC30" i="106"/>
  <c r="AV49" i="106"/>
  <c r="AW49" i="106" s="1"/>
  <c r="AP55" i="106"/>
  <c r="AP82" i="106"/>
  <c r="AR97" i="106"/>
  <c r="AD99" i="106"/>
  <c r="AQ55" i="106"/>
  <c r="AQ49" i="106"/>
  <c r="AD43" i="106"/>
  <c r="AQ34" i="106"/>
  <c r="AP97" i="106"/>
  <c r="AQ86" i="106"/>
  <c r="AQ89" i="106"/>
  <c r="AD98" i="106"/>
  <c r="AQ80" i="106"/>
  <c r="AR22" i="106"/>
  <c r="AL55" i="106"/>
  <c r="AL42" i="106"/>
  <c r="AQ22" i="106"/>
  <c r="AQ15" i="106"/>
  <c r="AV15" i="106"/>
  <c r="AV33" i="106"/>
  <c r="AW33" i="106" s="1"/>
  <c r="AP42" i="106"/>
  <c r="AV54" i="106"/>
  <c r="AW54" i="106" s="1"/>
  <c r="AV41" i="106"/>
  <c r="AW41" i="106" s="1"/>
  <c r="AQ36" i="106"/>
  <c r="AR49" i="106"/>
  <c r="AL58" i="106"/>
  <c r="AC22" i="106"/>
  <c r="AR58" i="106"/>
  <c r="AQ58" i="106"/>
  <c r="AQ82" i="106"/>
  <c r="AD109" i="106"/>
  <c r="AQ41" i="106"/>
  <c r="AQ97" i="106"/>
  <c r="BG13" i="106"/>
  <c r="AK10" i="106" s="1"/>
  <c r="AD87" i="106"/>
  <c r="N87" i="103"/>
  <c r="AD25" i="106"/>
  <c r="N25" i="103"/>
  <c r="AV63" i="106"/>
  <c r="AW63" i="106" s="1"/>
  <c r="AS63" i="106"/>
  <c r="AZ63" i="106"/>
  <c r="AM63" i="106"/>
  <c r="AS112" i="106"/>
  <c r="AZ112" i="106"/>
  <c r="AM112" i="106"/>
  <c r="AV45" i="106"/>
  <c r="AW45" i="106" s="1"/>
  <c r="AS45" i="106"/>
  <c r="AM45" i="106"/>
  <c r="AZ45" i="106"/>
  <c r="AC50" i="106"/>
  <c r="AS68" i="106"/>
  <c r="AM68" i="106"/>
  <c r="AZ68" i="106"/>
  <c r="AS42" i="106"/>
  <c r="AM42" i="106"/>
  <c r="AZ42" i="106"/>
  <c r="AS74" i="106"/>
  <c r="AM74" i="106"/>
  <c r="AZ74" i="106"/>
  <c r="AD106" i="106"/>
  <c r="N106" i="103"/>
  <c r="AD72" i="106"/>
  <c r="N72" i="103"/>
  <c r="AC102" i="106"/>
  <c r="AC98" i="106"/>
  <c r="AD103" i="106"/>
  <c r="N103" i="103"/>
  <c r="AD91" i="106"/>
  <c r="AC75" i="106"/>
  <c r="AD54" i="106"/>
  <c r="N54" i="103"/>
  <c r="AD84" i="106"/>
  <c r="AQ44" i="106"/>
  <c r="AQ46" i="106"/>
  <c r="AV74" i="106"/>
  <c r="AW74" i="106" s="1"/>
  <c r="AR42" i="106"/>
  <c r="AV36" i="106"/>
  <c r="AW36" i="106" s="1"/>
  <c r="AS36" i="106"/>
  <c r="AM36" i="106"/>
  <c r="AZ36" i="106"/>
  <c r="AS89" i="106"/>
  <c r="AZ89" i="106"/>
  <c r="AM89" i="106"/>
  <c r="AV112" i="106"/>
  <c r="AW112" i="106" s="1"/>
  <c r="AS65" i="106"/>
  <c r="AZ65" i="106"/>
  <c r="AM65" i="106"/>
  <c r="AS73" i="106"/>
  <c r="AZ73" i="106"/>
  <c r="AM73" i="106"/>
  <c r="AS62" i="106"/>
  <c r="AM62" i="106"/>
  <c r="AZ62" i="106"/>
  <c r="AQ29" i="106"/>
  <c r="AR66" i="106"/>
  <c r="AS66" i="106"/>
  <c r="AM66" i="106"/>
  <c r="AZ66" i="106"/>
  <c r="AS52" i="106"/>
  <c r="AM52" i="106"/>
  <c r="AZ52" i="106"/>
  <c r="AV53" i="106"/>
  <c r="AS53" i="106"/>
  <c r="AM53" i="106"/>
  <c r="AZ53" i="106"/>
  <c r="AR70" i="106"/>
  <c r="AS70" i="106"/>
  <c r="AM70" i="106"/>
  <c r="AZ70" i="106"/>
  <c r="AS99" i="106"/>
  <c r="AM99" i="106"/>
  <c r="AZ99" i="106"/>
  <c r="AS69" i="106"/>
  <c r="AM69" i="106"/>
  <c r="AZ69" i="106"/>
  <c r="AS105" i="106"/>
  <c r="AZ105" i="106"/>
  <c r="AM105" i="106"/>
  <c r="AR61" i="106"/>
  <c r="AS61" i="106"/>
  <c r="AM61" i="106"/>
  <c r="AZ61" i="106"/>
  <c r="AS17" i="106"/>
  <c r="AZ17" i="106"/>
  <c r="AD67" i="106"/>
  <c r="N67" i="103"/>
  <c r="AD48" i="106"/>
  <c r="N48" i="103"/>
  <c r="AV51" i="106"/>
  <c r="AW51" i="106" s="1"/>
  <c r="AS51" i="106"/>
  <c r="AM51" i="106"/>
  <c r="AZ51" i="106"/>
  <c r="AQ112" i="106"/>
  <c r="AD101" i="106"/>
  <c r="AS75" i="106"/>
  <c r="AM75" i="106"/>
  <c r="AZ75" i="106"/>
  <c r="AS43" i="106"/>
  <c r="AM43" i="106"/>
  <c r="AZ43" i="106"/>
  <c r="AS31" i="106"/>
  <c r="AZ31" i="106"/>
  <c r="AM31" i="106"/>
  <c r="AD94" i="106"/>
  <c r="AL68" i="106"/>
  <c r="AR63" i="106"/>
  <c r="AS23" i="106"/>
  <c r="AZ23" i="106"/>
  <c r="AM23" i="106"/>
  <c r="AV68" i="106"/>
  <c r="AW68" i="106" s="1"/>
  <c r="AS59" i="106"/>
  <c r="AM59" i="106"/>
  <c r="AZ59" i="106"/>
  <c r="AS21" i="106"/>
  <c r="AM21" i="106"/>
  <c r="AZ21" i="106"/>
  <c r="AS47" i="106"/>
  <c r="AZ47" i="106"/>
  <c r="AM47" i="106"/>
  <c r="AS111" i="106"/>
  <c r="AZ111" i="106"/>
  <c r="AM111" i="106"/>
  <c r="AS106" i="106"/>
  <c r="AM106" i="106"/>
  <c r="AZ106" i="106"/>
  <c r="AQ63" i="106"/>
  <c r="AS46" i="106"/>
  <c r="AM46" i="106"/>
  <c r="AZ46" i="106"/>
  <c r="AD53" i="106"/>
  <c r="AS60" i="106"/>
  <c r="AM60" i="106"/>
  <c r="AZ60" i="106"/>
  <c r="AP32" i="106"/>
  <c r="AS32" i="106"/>
  <c r="AZ32" i="106"/>
  <c r="AM32" i="106"/>
  <c r="AQ81" i="106"/>
  <c r="AS81" i="106"/>
  <c r="AZ81" i="106"/>
  <c r="AM81" i="106"/>
  <c r="AQ50" i="106"/>
  <c r="AD58" i="106"/>
  <c r="AS57" i="106"/>
  <c r="AZ57" i="106"/>
  <c r="AM57" i="106"/>
  <c r="AS100" i="106"/>
  <c r="AM100" i="106"/>
  <c r="AZ100" i="106"/>
  <c r="AS35" i="106"/>
  <c r="AM35" i="106"/>
  <c r="AZ35" i="106"/>
  <c r="AS91" i="106"/>
  <c r="AM91" i="106"/>
  <c r="AZ91" i="106"/>
  <c r="AD66" i="106"/>
  <c r="AD61" i="106"/>
  <c r="N61" i="103"/>
  <c r="AD45" i="106"/>
  <c r="AL74" i="106"/>
  <c r="AC42" i="106"/>
  <c r="AQ27" i="106"/>
  <c r="AQ43" i="106"/>
  <c r="AS48" i="106"/>
  <c r="AZ48" i="106"/>
  <c r="AM48" i="106"/>
  <c r="AS93" i="106"/>
  <c r="AM93" i="106"/>
  <c r="AZ93" i="106"/>
  <c r="AS22" i="106"/>
  <c r="AM22" i="106"/>
  <c r="AZ22" i="106"/>
  <c r="AS82" i="106"/>
  <c r="AM82" i="106"/>
  <c r="AZ82" i="106"/>
  <c r="AQ40" i="106"/>
  <c r="AV104" i="106"/>
  <c r="AW104" i="106" s="1"/>
  <c r="AS104" i="106"/>
  <c r="AZ104" i="106"/>
  <c r="AM104" i="106"/>
  <c r="AQ45" i="106"/>
  <c r="AS113" i="106"/>
  <c r="AZ113" i="106"/>
  <c r="AM113" i="106"/>
  <c r="AS26" i="106"/>
  <c r="AM26" i="106"/>
  <c r="AZ26" i="106"/>
  <c r="AS19" i="106"/>
  <c r="AM19" i="106"/>
  <c r="AZ19" i="106"/>
  <c r="AS86" i="106"/>
  <c r="AM86" i="106"/>
  <c r="AZ86" i="106"/>
  <c r="AS84" i="106"/>
  <c r="AM84" i="106"/>
  <c r="AZ84" i="106"/>
  <c r="AS58" i="106"/>
  <c r="AM58" i="106"/>
  <c r="AZ58" i="106"/>
  <c r="AS39" i="106"/>
  <c r="AZ39" i="106"/>
  <c r="AM39" i="106"/>
  <c r="AS95" i="106"/>
  <c r="AZ95" i="106"/>
  <c r="AM95" i="106"/>
  <c r="AD80" i="106"/>
  <c r="N80" i="103"/>
  <c r="AS108" i="106"/>
  <c r="AM108" i="106"/>
  <c r="AZ108" i="106"/>
  <c r="AV25" i="106"/>
  <c r="AW25" i="106" s="1"/>
  <c r="AS25" i="106"/>
  <c r="AZ25" i="106"/>
  <c r="AM25" i="106"/>
  <c r="AP34" i="106"/>
  <c r="AS34" i="106"/>
  <c r="AM34" i="106"/>
  <c r="AZ34" i="106"/>
  <c r="AD83" i="106"/>
  <c r="AQ51" i="106"/>
  <c r="AV98" i="106"/>
  <c r="AW98" i="106" s="1"/>
  <c r="AS98" i="106"/>
  <c r="AM98" i="106"/>
  <c r="AZ98" i="106"/>
  <c r="AS28" i="106"/>
  <c r="AM28" i="106"/>
  <c r="AZ28" i="106"/>
  <c r="AP50" i="106"/>
  <c r="AS50" i="106"/>
  <c r="AM50" i="106"/>
  <c r="AZ50" i="106"/>
  <c r="AD64" i="106"/>
  <c r="N64" i="103"/>
  <c r="AQ68" i="106"/>
  <c r="AP96" i="106"/>
  <c r="AS96" i="106"/>
  <c r="AZ96" i="106"/>
  <c r="AM96" i="106"/>
  <c r="AS77" i="106"/>
  <c r="AM77" i="106"/>
  <c r="AZ77" i="106"/>
  <c r="AQ98" i="106"/>
  <c r="AD70" i="106"/>
  <c r="N70" i="103"/>
  <c r="AD56" i="106"/>
  <c r="N56" i="103"/>
  <c r="AD33" i="106"/>
  <c r="N33" i="103"/>
  <c r="AD29" i="106"/>
  <c r="AD44" i="106"/>
  <c r="N44" i="103"/>
  <c r="AL34" i="106"/>
  <c r="AP21" i="106"/>
  <c r="AR106" i="106"/>
  <c r="AR34" i="106"/>
  <c r="AS110" i="106"/>
  <c r="AM110" i="106"/>
  <c r="AZ110" i="106"/>
  <c r="AS56" i="106"/>
  <c r="AZ56" i="106"/>
  <c r="AM56" i="106"/>
  <c r="AP33" i="106"/>
  <c r="AS33" i="106"/>
  <c r="AZ33" i="106"/>
  <c r="AM33" i="106"/>
  <c r="AM14" i="106"/>
  <c r="AS85" i="106"/>
  <c r="AM85" i="106"/>
  <c r="AZ85" i="106"/>
  <c r="AS72" i="106"/>
  <c r="AZ72" i="106"/>
  <c r="AM72" i="106"/>
  <c r="AD38" i="106"/>
  <c r="AR47" i="106"/>
  <c r="AP64" i="106"/>
  <c r="AS64" i="106"/>
  <c r="AZ64" i="106"/>
  <c r="AM64" i="106"/>
  <c r="AV107" i="106"/>
  <c r="AW107" i="106" s="1"/>
  <c r="AS107" i="106"/>
  <c r="AM107" i="106"/>
  <c r="AZ107" i="106"/>
  <c r="AS87" i="106"/>
  <c r="AZ87" i="106"/>
  <c r="AM87" i="106"/>
  <c r="AP40" i="106"/>
  <c r="AS40" i="106"/>
  <c r="AZ40" i="106"/>
  <c r="AM40" i="106"/>
  <c r="AR50" i="106"/>
  <c r="AS54" i="106"/>
  <c r="AM54" i="106"/>
  <c r="AZ54" i="106"/>
  <c r="AR31" i="106"/>
  <c r="AS83" i="106"/>
  <c r="AM83" i="106"/>
  <c r="AZ83" i="106"/>
  <c r="AS49" i="106"/>
  <c r="AZ49" i="106"/>
  <c r="AM49" i="106"/>
  <c r="AS80" i="106"/>
  <c r="AZ80" i="106"/>
  <c r="AP80" i="106"/>
  <c r="AM80" i="106"/>
  <c r="AP51" i="106"/>
  <c r="AS27" i="106"/>
  <c r="AM27" i="106"/>
  <c r="AZ27" i="106"/>
  <c r="AS79" i="106"/>
  <c r="AZ79" i="106"/>
  <c r="AM79" i="106"/>
  <c r="AP63" i="106"/>
  <c r="AD46" i="106"/>
  <c r="N46" i="103"/>
  <c r="AD36" i="106"/>
  <c r="N36" i="103"/>
  <c r="AR51" i="106"/>
  <c r="AR75" i="106"/>
  <c r="AQ74" i="106"/>
  <c r="AQ35" i="106"/>
  <c r="AQ60" i="106"/>
  <c r="AD14" i="106"/>
  <c r="AQ28" i="106"/>
  <c r="AR112" i="106"/>
  <c r="AR68" i="106"/>
  <c r="AV106" i="106"/>
  <c r="AW106" i="106" s="1"/>
  <c r="AV111" i="106"/>
  <c r="AW111" i="106" s="1"/>
  <c r="AS67" i="106"/>
  <c r="AM67" i="106"/>
  <c r="AZ67" i="106"/>
  <c r="AS44" i="106"/>
  <c r="AM44" i="106"/>
  <c r="AZ44" i="106"/>
  <c r="AP90" i="106"/>
  <c r="AS90" i="106"/>
  <c r="AM90" i="106"/>
  <c r="AZ90" i="106"/>
  <c r="AD85" i="106"/>
  <c r="AV50" i="106"/>
  <c r="AW50" i="106" s="1"/>
  <c r="AP111" i="106"/>
  <c r="AP31" i="106"/>
  <c r="AD86" i="106"/>
  <c r="AS38" i="106"/>
  <c r="AM38" i="106"/>
  <c r="AZ38" i="106"/>
  <c r="AL92" i="106"/>
  <c r="AS92" i="106"/>
  <c r="AM92" i="106"/>
  <c r="AZ92" i="106"/>
  <c r="AS29" i="106"/>
  <c r="AM29" i="106"/>
  <c r="AZ29" i="106"/>
  <c r="AS41" i="106"/>
  <c r="AZ41" i="106"/>
  <c r="AM41" i="106"/>
  <c r="AS55" i="106"/>
  <c r="AZ55" i="106"/>
  <c r="AR55" i="106"/>
  <c r="AM55" i="106"/>
  <c r="AS97" i="106"/>
  <c r="AZ97" i="106"/>
  <c r="AM97" i="106"/>
  <c r="AS15" i="106"/>
  <c r="AZ15" i="106"/>
  <c r="AR15" i="106"/>
  <c r="AR20" i="106"/>
  <c r="AV20" i="106"/>
  <c r="AW20" i="106" s="1"/>
  <c r="AS20" i="106"/>
  <c r="AZ20" i="106"/>
  <c r="AD13" i="106"/>
  <c r="N13" i="103"/>
  <c r="AV75" i="106"/>
  <c r="AW75" i="106" s="1"/>
  <c r="AV48" i="106"/>
  <c r="AW48" i="106" s="1"/>
  <c r="AP86" i="106"/>
  <c r="AL87" i="106"/>
  <c r="AQ59" i="106"/>
  <c r="AR32" i="106"/>
  <c r="AP59" i="106"/>
  <c r="AP92" i="106"/>
  <c r="AP43" i="106"/>
  <c r="AR43" i="106"/>
  <c r="AL107" i="106"/>
  <c r="AV70" i="106"/>
  <c r="AW70" i="106" s="1"/>
  <c r="AV86" i="106"/>
  <c r="AW86" i="106" s="1"/>
  <c r="AR53" i="106"/>
  <c r="AP77" i="106"/>
  <c r="AR77" i="106"/>
  <c r="AV77" i="106"/>
  <c r="AD77" i="106"/>
  <c r="AD69" i="106"/>
  <c r="AL63" i="106"/>
  <c r="AL66" i="106"/>
  <c r="AQ57" i="106"/>
  <c r="AD35" i="106"/>
  <c r="AL33" i="106"/>
  <c r="AR98" i="106"/>
  <c r="AV32" i="106"/>
  <c r="AW32" i="106" s="1"/>
  <c r="AP89" i="106"/>
  <c r="AR89" i="106"/>
  <c r="AV89" i="106"/>
  <c r="AW89" i="106" s="1"/>
  <c r="AQ104" i="106"/>
  <c r="AP73" i="106"/>
  <c r="AR73" i="106"/>
  <c r="AV73" i="106"/>
  <c r="AP113" i="106"/>
  <c r="AR113" i="106"/>
  <c r="AV113" i="106"/>
  <c r="AW113" i="106" s="1"/>
  <c r="AP69" i="106"/>
  <c r="AV69" i="106"/>
  <c r="AW69" i="106" s="1"/>
  <c r="AR69" i="106"/>
  <c r="AL84" i="106"/>
  <c r="AV59" i="106"/>
  <c r="AW59" i="106" s="1"/>
  <c r="AR59" i="106"/>
  <c r="AL59" i="106"/>
  <c r="AQ100" i="106"/>
  <c r="AR107" i="106"/>
  <c r="AQ79" i="106"/>
  <c r="AV56" i="106"/>
  <c r="AP56" i="106"/>
  <c r="AP19" i="106"/>
  <c r="AR19" i="106"/>
  <c r="AR46" i="106"/>
  <c r="AV87" i="106"/>
  <c r="AW87" i="106" s="1"/>
  <c r="AP65" i="106"/>
  <c r="AV65" i="106"/>
  <c r="AR65" i="106"/>
  <c r="AR90" i="106"/>
  <c r="AD60" i="106"/>
  <c r="AD73" i="106"/>
  <c r="AR91" i="106"/>
  <c r="AP29" i="106"/>
  <c r="AC86" i="106"/>
  <c r="AD93" i="106"/>
  <c r="AL98" i="106"/>
  <c r="AC94" i="106"/>
  <c r="AC66" i="106"/>
  <c r="AL48" i="106"/>
  <c r="AC38" i="106"/>
  <c r="AL25" i="106"/>
  <c r="AQ56" i="106"/>
  <c r="AV43" i="106"/>
  <c r="AW43" i="106" s="1"/>
  <c r="AR45" i="106"/>
  <c r="AP66" i="106"/>
  <c r="AP87" i="106"/>
  <c r="AP27" i="106"/>
  <c r="AR27" i="106"/>
  <c r="AL27" i="106"/>
  <c r="AR67" i="106"/>
  <c r="AP110" i="106"/>
  <c r="AR110" i="106"/>
  <c r="AV40" i="106"/>
  <c r="AL75" i="106"/>
  <c r="AP48" i="106"/>
  <c r="AP104" i="106"/>
  <c r="AQ92" i="106"/>
  <c r="AQ72" i="106"/>
  <c r="AQ65" i="106"/>
  <c r="AL91" i="106"/>
  <c r="AL100" i="106"/>
  <c r="AC85" i="106"/>
  <c r="AC59" i="106"/>
  <c r="AQ77" i="106"/>
  <c r="AL45" i="106"/>
  <c r="AD51" i="106"/>
  <c r="AR48" i="106"/>
  <c r="AQ66" i="106"/>
  <c r="AP54" i="106"/>
  <c r="AP25" i="106"/>
  <c r="AV66" i="106"/>
  <c r="AW66" i="106" s="1"/>
  <c r="AP75" i="106"/>
  <c r="AV34" i="106"/>
  <c r="AW34" i="106" s="1"/>
  <c r="AP85" i="106"/>
  <c r="AR85" i="106"/>
  <c r="AV85" i="106"/>
  <c r="AQ52" i="106"/>
  <c r="AV52" i="106"/>
  <c r="AW52" i="106" s="1"/>
  <c r="AL64" i="106"/>
  <c r="AV100" i="106"/>
  <c r="AP23" i="106"/>
  <c r="AR23" i="106"/>
  <c r="AP105" i="106"/>
  <c r="AR105" i="106"/>
  <c r="AV105" i="106"/>
  <c r="AW105" i="106" s="1"/>
  <c r="AV60" i="106"/>
  <c r="AP45" i="106"/>
  <c r="AQ64" i="106"/>
  <c r="AQ70" i="106"/>
  <c r="AR79" i="106"/>
  <c r="AP79" i="106"/>
  <c r="AP107" i="106"/>
  <c r="AR87" i="106"/>
  <c r="AQ75" i="106"/>
  <c r="AP98" i="106"/>
  <c r="AV72" i="106"/>
  <c r="AR92" i="106"/>
  <c r="AP100" i="106"/>
  <c r="AQ90" i="106"/>
  <c r="AL79" i="106"/>
  <c r="AR56" i="106"/>
  <c r="AV19" i="106"/>
  <c r="AW19" i="106" s="1"/>
  <c r="AV46" i="106"/>
  <c r="AW46" i="106" s="1"/>
  <c r="AP93" i="106"/>
  <c r="AR93" i="106"/>
  <c r="AV93" i="106"/>
  <c r="AW93" i="106" s="1"/>
  <c r="AP57" i="106"/>
  <c r="AR57" i="106"/>
  <c r="AV57" i="106"/>
  <c r="AW57" i="106" s="1"/>
  <c r="AP35" i="106"/>
  <c r="AR35" i="106"/>
  <c r="AL35" i="106"/>
  <c r="AV42" i="106"/>
  <c r="AW42" i="106" s="1"/>
  <c r="AP81" i="106"/>
  <c r="AV81" i="106"/>
  <c r="AW81" i="106" s="1"/>
  <c r="AR81" i="106"/>
  <c r="AL93" i="106"/>
  <c r="AD82" i="106"/>
  <c r="AL110" i="106"/>
  <c r="AQ25" i="106"/>
  <c r="AL22" i="106"/>
  <c r="AD28" i="106"/>
  <c r="AR104" i="106"/>
  <c r="AR72" i="106"/>
  <c r="AQ110" i="106"/>
  <c r="AV35" i="106"/>
  <c r="AW35" i="106" s="1"/>
  <c r="AQ54" i="106"/>
  <c r="AP46" i="106"/>
  <c r="AP60" i="106"/>
  <c r="AV108" i="106"/>
  <c r="AP108" i="106"/>
  <c r="AR82" i="106"/>
  <c r="AP72" i="106"/>
  <c r="AP68" i="106"/>
  <c r="AP112" i="106"/>
  <c r="AV44" i="106"/>
  <c r="AR44" i="106"/>
  <c r="AV26" i="106"/>
  <c r="AW26" i="106" s="1"/>
  <c r="AV64" i="106"/>
  <c r="AV28" i="106"/>
  <c r="AR28" i="106"/>
  <c r="AQ96" i="106"/>
  <c r="AW24" i="106"/>
  <c r="AW23" i="106"/>
  <c r="AW38" i="106"/>
  <c r="AW16" i="106"/>
  <c r="AM16" i="106" s="1"/>
  <c r="AW15" i="106"/>
  <c r="AW110" i="106"/>
  <c r="AW55" i="106"/>
  <c r="AW78" i="106"/>
  <c r="AW53" i="106"/>
  <c r="AW90" i="106"/>
  <c r="AW39" i="106"/>
  <c r="AW67" i="106"/>
  <c r="AW17" i="106"/>
  <c r="AW62" i="106"/>
  <c r="AW22" i="106"/>
  <c r="AW18" i="106"/>
  <c r="AW79" i="106"/>
  <c r="AW94" i="106"/>
  <c r="AW58" i="106"/>
  <c r="AW102" i="106"/>
  <c r="AW31" i="106"/>
  <c r="AW82" i="106"/>
  <c r="AW27" i="106"/>
  <c r="AL32" i="106"/>
  <c r="AD65" i="106"/>
  <c r="AC65" i="106"/>
  <c r="AL16" i="106"/>
  <c r="AL103" i="106"/>
  <c r="AL112" i="106"/>
  <c r="AL95" i="106"/>
  <c r="AD68" i="106"/>
  <c r="AD57" i="106"/>
  <c r="AC57" i="106"/>
  <c r="AL65" i="106"/>
  <c r="AL28" i="106"/>
  <c r="AC15" i="106"/>
  <c r="AL60" i="106"/>
  <c r="AD24" i="106"/>
  <c r="AL77" i="106"/>
  <c r="AC104" i="106"/>
  <c r="AD104" i="106"/>
  <c r="AC110" i="106"/>
  <c r="AD111" i="106"/>
  <c r="AD113" i="106"/>
  <c r="AL80" i="106"/>
  <c r="AC111" i="106"/>
  <c r="AL96" i="106"/>
  <c r="AD81" i="106"/>
  <c r="AC81" i="106"/>
  <c r="AD112" i="106"/>
  <c r="AC112" i="106"/>
  <c r="AD95" i="106"/>
  <c r="AL54" i="106"/>
  <c r="AC53" i="106"/>
  <c r="AL44" i="106"/>
  <c r="AL21" i="106"/>
  <c r="AL14" i="106"/>
  <c r="AC35" i="106"/>
  <c r="AC19" i="106"/>
  <c r="AL111" i="106"/>
  <c r="AD96" i="106"/>
  <c r="AC96" i="106"/>
  <c r="AL86" i="106"/>
  <c r="AL109" i="106"/>
  <c r="AL43" i="106"/>
  <c r="AL62" i="106"/>
  <c r="AL104" i="106"/>
  <c r="AD79" i="106"/>
  <c r="AC79" i="106"/>
  <c r="AL90" i="106"/>
  <c r="AL67" i="106"/>
  <c r="AL40" i="106"/>
  <c r="AL24" i="106"/>
  <c r="AL51" i="106"/>
  <c r="AC49" i="106"/>
  <c r="AD49" i="106"/>
  <c r="AC27" i="106"/>
  <c r="AL39" i="106"/>
  <c r="AL113" i="106"/>
  <c r="AD63" i="106"/>
  <c r="AC63" i="106"/>
  <c r="AC105" i="106"/>
  <c r="AD105" i="106"/>
  <c r="AL97" i="106"/>
  <c r="AD90" i="106"/>
  <c r="AC90" i="106"/>
  <c r="AL70" i="106"/>
  <c r="AC77" i="106"/>
  <c r="AL46" i="106"/>
  <c r="AD89" i="106"/>
  <c r="AD41" i="106"/>
  <c r="AC41" i="106"/>
  <c r="AL57" i="106"/>
  <c r="AC45" i="106"/>
  <c r="AD47" i="106"/>
  <c r="AC47" i="106"/>
  <c r="AL23" i="106"/>
  <c r="AD39" i="106"/>
  <c r="AC39" i="106"/>
  <c r="AD37" i="106"/>
  <c r="AL15" i="106"/>
  <c r="AL105" i="106"/>
  <c r="AD97" i="106"/>
  <c r="AC97" i="106"/>
  <c r="AL85" i="106"/>
  <c r="AD71" i="106"/>
  <c r="AC71" i="106"/>
  <c r="AC101" i="106"/>
  <c r="AL88" i="106"/>
  <c r="AL82" i="106"/>
  <c r="AL78" i="106"/>
  <c r="AL69" i="106"/>
  <c r="AL36" i="106"/>
  <c r="AL13" i="106"/>
  <c r="AD23" i="106"/>
  <c r="AC23" i="106"/>
  <c r="AL49" i="106"/>
  <c r="AL31" i="106"/>
  <c r="AD62" i="106"/>
  <c r="AC62" i="106"/>
  <c r="AD17" i="106"/>
  <c r="AC17" i="106"/>
  <c r="AL89" i="106"/>
  <c r="AD88" i="106"/>
  <c r="AC88" i="106"/>
  <c r="AD55" i="106"/>
  <c r="AC55" i="106"/>
  <c r="AD78" i="106"/>
  <c r="AC78" i="106"/>
  <c r="AD52" i="106"/>
  <c r="AL52" i="106"/>
  <c r="AL41" i="106"/>
  <c r="AD32" i="106"/>
  <c r="AL17" i="106"/>
  <c r="AD40" i="106"/>
  <c r="AD31" i="106"/>
  <c r="AC31" i="106"/>
  <c r="AL20" i="106"/>
  <c r="AD16" i="106"/>
  <c r="AM13" i="106" l="1"/>
  <c r="BJ10" i="106"/>
  <c r="AM17" i="106"/>
  <c r="AM15" i="106"/>
  <c r="AG10" i="106"/>
  <c r="AW60" i="106"/>
  <c r="AW56" i="106"/>
  <c r="AW28" i="106"/>
  <c r="AW64" i="106"/>
  <c r="AW72" i="106"/>
  <c r="AW100" i="106"/>
  <c r="AW108" i="106"/>
  <c r="AW65" i="106"/>
  <c r="AW85" i="106"/>
  <c r="AW77" i="106"/>
  <c r="AW44" i="106"/>
  <c r="AW40" i="106"/>
  <c r="AW73" i="106"/>
  <c r="BD113" i="103" l="1"/>
  <c r="BA113" i="103"/>
  <c r="AV113" i="103"/>
  <c r="AU113" i="103"/>
  <c r="AS113" i="103"/>
  <c r="AA113" i="103"/>
  <c r="L113" i="103"/>
  <c r="AE113" i="103" s="1"/>
  <c r="K113" i="103"/>
  <c r="BL113" i="103" s="1"/>
  <c r="J113" i="103"/>
  <c r="I113" i="103"/>
  <c r="H113" i="103"/>
  <c r="G113" i="103"/>
  <c r="BI113" i="103" s="1"/>
  <c r="B113" i="103"/>
  <c r="BD112" i="103"/>
  <c r="BA112" i="103"/>
  <c r="AV112" i="103"/>
  <c r="AU112" i="103"/>
  <c r="AS112" i="103"/>
  <c r="AA112" i="103"/>
  <c r="L112" i="103"/>
  <c r="K112" i="103"/>
  <c r="BL112" i="103" s="1"/>
  <c r="J112" i="103"/>
  <c r="I112" i="103"/>
  <c r="H112" i="103"/>
  <c r="G112" i="103"/>
  <c r="BI112" i="103" s="1"/>
  <c r="B112" i="103"/>
  <c r="BD111" i="103"/>
  <c r="BA111" i="103"/>
  <c r="AV111" i="103"/>
  <c r="AU111" i="103"/>
  <c r="AS111" i="103"/>
  <c r="AA111" i="103"/>
  <c r="L111" i="103"/>
  <c r="K111" i="103"/>
  <c r="BL111" i="103" s="1"/>
  <c r="J111" i="103"/>
  <c r="I111" i="103"/>
  <c r="H111" i="103"/>
  <c r="G111" i="103"/>
  <c r="BI111" i="103" s="1"/>
  <c r="B111" i="103"/>
  <c r="BD110" i="103"/>
  <c r="BA110" i="103"/>
  <c r="AV110" i="103"/>
  <c r="AU110" i="103"/>
  <c r="AS110" i="103"/>
  <c r="AA110" i="103"/>
  <c r="L110" i="103"/>
  <c r="K110" i="103"/>
  <c r="BL110" i="103" s="1"/>
  <c r="J110" i="103"/>
  <c r="I110" i="103"/>
  <c r="H110" i="103"/>
  <c r="G110" i="103"/>
  <c r="BI110" i="103" s="1"/>
  <c r="B110" i="103"/>
  <c r="BD109" i="103"/>
  <c r="BA109" i="103"/>
  <c r="AV109" i="103"/>
  <c r="AU109" i="103"/>
  <c r="AS109" i="103"/>
  <c r="AA109" i="103"/>
  <c r="L109" i="103"/>
  <c r="K109" i="103"/>
  <c r="BL109" i="103" s="1"/>
  <c r="J109" i="103"/>
  <c r="I109" i="103"/>
  <c r="H109" i="103"/>
  <c r="G109" i="103"/>
  <c r="BI109" i="103" s="1"/>
  <c r="B109" i="103"/>
  <c r="BD108" i="103"/>
  <c r="BA108" i="103"/>
  <c r="AV108" i="103"/>
  <c r="AU108" i="103"/>
  <c r="AS108" i="103"/>
  <c r="AA108" i="103"/>
  <c r="L108" i="103"/>
  <c r="K108" i="103"/>
  <c r="BB108" i="103" s="1"/>
  <c r="J108" i="103"/>
  <c r="I108" i="103"/>
  <c r="H108" i="103"/>
  <c r="G108" i="103"/>
  <c r="BI108" i="103" s="1"/>
  <c r="B108" i="103"/>
  <c r="BD107" i="103"/>
  <c r="BA107" i="103"/>
  <c r="AV107" i="103"/>
  <c r="AU107" i="103"/>
  <c r="AS107" i="103"/>
  <c r="AA107" i="103"/>
  <c r="L107" i="103"/>
  <c r="K107" i="103"/>
  <c r="J107" i="103"/>
  <c r="I107" i="103"/>
  <c r="H107" i="103"/>
  <c r="G107" i="103"/>
  <c r="BI107" i="103" s="1"/>
  <c r="B107" i="103"/>
  <c r="BD106" i="103"/>
  <c r="BA106" i="103"/>
  <c r="AV106" i="103"/>
  <c r="AU106" i="103"/>
  <c r="AS106" i="103"/>
  <c r="AA106" i="103"/>
  <c r="L106" i="103"/>
  <c r="K106" i="103"/>
  <c r="BL106" i="103" s="1"/>
  <c r="J106" i="103"/>
  <c r="I106" i="103"/>
  <c r="H106" i="103"/>
  <c r="G106" i="103"/>
  <c r="BI106" i="103" s="1"/>
  <c r="B106" i="103"/>
  <c r="BD105" i="103"/>
  <c r="BA105" i="103"/>
  <c r="AV105" i="103"/>
  <c r="AU105" i="103"/>
  <c r="AS105" i="103"/>
  <c r="AA105" i="103"/>
  <c r="L105" i="103"/>
  <c r="K105" i="103"/>
  <c r="J105" i="103"/>
  <c r="I105" i="103"/>
  <c r="H105" i="103"/>
  <c r="G105" i="103"/>
  <c r="BI105" i="103" s="1"/>
  <c r="B105" i="103"/>
  <c r="BD104" i="103"/>
  <c r="BA104" i="103"/>
  <c r="AV104" i="103"/>
  <c r="AU104" i="103"/>
  <c r="AS104" i="103"/>
  <c r="AA104" i="103"/>
  <c r="L104" i="103"/>
  <c r="K104" i="103"/>
  <c r="J104" i="103"/>
  <c r="I104" i="103"/>
  <c r="H104" i="103"/>
  <c r="G104" i="103"/>
  <c r="BI104" i="103" s="1"/>
  <c r="B104" i="103"/>
  <c r="BD103" i="103"/>
  <c r="BA103" i="103"/>
  <c r="AV103" i="103"/>
  <c r="AU103" i="103"/>
  <c r="AS103" i="103"/>
  <c r="AA103" i="103"/>
  <c r="L103" i="103"/>
  <c r="K103" i="103"/>
  <c r="BL103" i="103" s="1"/>
  <c r="J103" i="103"/>
  <c r="I103" i="103"/>
  <c r="H103" i="103"/>
  <c r="G103" i="103"/>
  <c r="BI103" i="103" s="1"/>
  <c r="B103" i="103"/>
  <c r="BD102" i="103"/>
  <c r="BA102" i="103"/>
  <c r="AV102" i="103"/>
  <c r="AU102" i="103"/>
  <c r="AS102" i="103"/>
  <c r="AA102" i="103"/>
  <c r="L102" i="103"/>
  <c r="K102" i="103"/>
  <c r="BL102" i="103" s="1"/>
  <c r="J102" i="103"/>
  <c r="I102" i="103"/>
  <c r="H102" i="103"/>
  <c r="G102" i="103"/>
  <c r="BI102" i="103" s="1"/>
  <c r="B102" i="103"/>
  <c r="BD101" i="103"/>
  <c r="BA101" i="103"/>
  <c r="AV101" i="103"/>
  <c r="AU101" i="103"/>
  <c r="AS101" i="103"/>
  <c r="AA101" i="103"/>
  <c r="L101" i="103"/>
  <c r="K101" i="103"/>
  <c r="BL101" i="103" s="1"/>
  <c r="J101" i="103"/>
  <c r="I101" i="103"/>
  <c r="H101" i="103"/>
  <c r="G101" i="103"/>
  <c r="BI101" i="103" s="1"/>
  <c r="B101" i="103"/>
  <c r="BD100" i="103"/>
  <c r="BA100" i="103"/>
  <c r="AV100" i="103"/>
  <c r="AU100" i="103"/>
  <c r="AS100" i="103"/>
  <c r="AA100" i="103"/>
  <c r="L100" i="103"/>
  <c r="K100" i="103"/>
  <c r="J100" i="103"/>
  <c r="I100" i="103"/>
  <c r="H100" i="103"/>
  <c r="G100" i="103"/>
  <c r="BI100" i="103" s="1"/>
  <c r="B100" i="103"/>
  <c r="BD99" i="103"/>
  <c r="BA99" i="103"/>
  <c r="AY99" i="103"/>
  <c r="AV99" i="103"/>
  <c r="AU99" i="103"/>
  <c r="AS99" i="103"/>
  <c r="AA99" i="103"/>
  <c r="L99" i="103"/>
  <c r="K99" i="103"/>
  <c r="J99" i="103"/>
  <c r="I99" i="103"/>
  <c r="H99" i="103"/>
  <c r="G99" i="103"/>
  <c r="BI99" i="103" s="1"/>
  <c r="B99" i="103"/>
  <c r="BD98" i="103"/>
  <c r="BA98" i="103"/>
  <c r="AV98" i="103"/>
  <c r="AU98" i="103"/>
  <c r="AS98" i="103"/>
  <c r="AA98" i="103"/>
  <c r="L98" i="103"/>
  <c r="AE98" i="103" s="1"/>
  <c r="K98" i="103"/>
  <c r="BL98" i="103" s="1"/>
  <c r="J98" i="103"/>
  <c r="I98" i="103"/>
  <c r="H98" i="103"/>
  <c r="G98" i="103"/>
  <c r="BI98" i="103" s="1"/>
  <c r="B98" i="103"/>
  <c r="BD97" i="103"/>
  <c r="BA97" i="103"/>
  <c r="AV97" i="103"/>
  <c r="AU97" i="103"/>
  <c r="AS97" i="103"/>
  <c r="AA97" i="103"/>
  <c r="L97" i="103"/>
  <c r="K97" i="103"/>
  <c r="J97" i="103"/>
  <c r="I97" i="103"/>
  <c r="H97" i="103"/>
  <c r="G97" i="103"/>
  <c r="BI97" i="103" s="1"/>
  <c r="B97" i="103"/>
  <c r="BD96" i="103"/>
  <c r="BA96" i="103"/>
  <c r="AV96" i="103"/>
  <c r="AU96" i="103"/>
  <c r="AS96" i="103"/>
  <c r="AA96" i="103"/>
  <c r="L96" i="103"/>
  <c r="K96" i="103"/>
  <c r="BL96" i="103" s="1"/>
  <c r="J96" i="103"/>
  <c r="I96" i="103"/>
  <c r="H96" i="103"/>
  <c r="G96" i="103"/>
  <c r="BI96" i="103" s="1"/>
  <c r="B96" i="103"/>
  <c r="BD95" i="103"/>
  <c r="BA95" i="103"/>
  <c r="AV95" i="103"/>
  <c r="AU95" i="103"/>
  <c r="AS95" i="103"/>
  <c r="AA95" i="103"/>
  <c r="L95" i="103"/>
  <c r="K95" i="103"/>
  <c r="BL95" i="103" s="1"/>
  <c r="J95" i="103"/>
  <c r="I95" i="103"/>
  <c r="H95" i="103"/>
  <c r="G95" i="103"/>
  <c r="BI95" i="103" s="1"/>
  <c r="B95" i="103"/>
  <c r="BD94" i="103"/>
  <c r="BA94" i="103"/>
  <c r="AV94" i="103"/>
  <c r="AU94" i="103"/>
  <c r="AS94" i="103"/>
  <c r="AA94" i="103"/>
  <c r="L94" i="103"/>
  <c r="K94" i="103"/>
  <c r="BL94" i="103" s="1"/>
  <c r="J94" i="103"/>
  <c r="I94" i="103"/>
  <c r="H94" i="103"/>
  <c r="G94" i="103"/>
  <c r="BI94" i="103" s="1"/>
  <c r="B94" i="103"/>
  <c r="BD93" i="103"/>
  <c r="BA93" i="103"/>
  <c r="AV93" i="103"/>
  <c r="AU93" i="103"/>
  <c r="AS93" i="103"/>
  <c r="AA93" i="103"/>
  <c r="L93" i="103"/>
  <c r="K93" i="103"/>
  <c r="BL93" i="103" s="1"/>
  <c r="J93" i="103"/>
  <c r="I93" i="103"/>
  <c r="H93" i="103"/>
  <c r="G93" i="103"/>
  <c r="BI93" i="103" s="1"/>
  <c r="B93" i="103"/>
  <c r="BD92" i="103"/>
  <c r="BA92" i="103"/>
  <c r="AV92" i="103"/>
  <c r="AU92" i="103"/>
  <c r="AS92" i="103"/>
  <c r="AA92" i="103"/>
  <c r="L92" i="103"/>
  <c r="K92" i="103"/>
  <c r="BB92" i="103" s="1"/>
  <c r="J92" i="103"/>
  <c r="I92" i="103"/>
  <c r="H92" i="103"/>
  <c r="G92" i="103"/>
  <c r="BI92" i="103" s="1"/>
  <c r="B92" i="103"/>
  <c r="BD91" i="103"/>
  <c r="BA91" i="103"/>
  <c r="AV91" i="103"/>
  <c r="AU91" i="103"/>
  <c r="AS91" i="103"/>
  <c r="AA91" i="103"/>
  <c r="L91" i="103"/>
  <c r="K91" i="103"/>
  <c r="J91" i="103"/>
  <c r="I91" i="103"/>
  <c r="H91" i="103"/>
  <c r="G91" i="103"/>
  <c r="BI91" i="103" s="1"/>
  <c r="B91" i="103"/>
  <c r="BD90" i="103"/>
  <c r="BA90" i="103"/>
  <c r="AV90" i="103"/>
  <c r="AU90" i="103"/>
  <c r="AS90" i="103"/>
  <c r="AA90" i="103"/>
  <c r="L90" i="103"/>
  <c r="K90" i="103"/>
  <c r="BL90" i="103" s="1"/>
  <c r="J90" i="103"/>
  <c r="I90" i="103"/>
  <c r="H90" i="103"/>
  <c r="G90" i="103"/>
  <c r="BI90" i="103" s="1"/>
  <c r="B90" i="103"/>
  <c r="BD89" i="103"/>
  <c r="BA89" i="103"/>
  <c r="AV89" i="103"/>
  <c r="AU89" i="103"/>
  <c r="AS89" i="103"/>
  <c r="AA89" i="103"/>
  <c r="L89" i="103"/>
  <c r="K89" i="103"/>
  <c r="J89" i="103"/>
  <c r="I89" i="103"/>
  <c r="H89" i="103"/>
  <c r="G89" i="103"/>
  <c r="BI89" i="103" s="1"/>
  <c r="B89" i="103"/>
  <c r="BD88" i="103"/>
  <c r="BA88" i="103"/>
  <c r="AV88" i="103"/>
  <c r="AU88" i="103"/>
  <c r="AS88" i="103"/>
  <c r="AA88" i="103"/>
  <c r="L88" i="103"/>
  <c r="K88" i="103"/>
  <c r="BL88" i="103" s="1"/>
  <c r="J88" i="103"/>
  <c r="I88" i="103"/>
  <c r="H88" i="103"/>
  <c r="G88" i="103"/>
  <c r="BI88" i="103" s="1"/>
  <c r="B88" i="103"/>
  <c r="BD87" i="103"/>
  <c r="BA87" i="103"/>
  <c r="AV87" i="103"/>
  <c r="AU87" i="103"/>
  <c r="AS87" i="103"/>
  <c r="AA87" i="103"/>
  <c r="L87" i="103"/>
  <c r="K87" i="103"/>
  <c r="BL87" i="103" s="1"/>
  <c r="J87" i="103"/>
  <c r="I87" i="103"/>
  <c r="H87" i="103"/>
  <c r="G87" i="103"/>
  <c r="BI87" i="103" s="1"/>
  <c r="B87" i="103"/>
  <c r="BD86" i="103"/>
  <c r="BA86" i="103"/>
  <c r="AV86" i="103"/>
  <c r="AU86" i="103"/>
  <c r="AS86" i="103"/>
  <c r="AA86" i="103"/>
  <c r="L86" i="103"/>
  <c r="K86" i="103"/>
  <c r="BL86" i="103" s="1"/>
  <c r="J86" i="103"/>
  <c r="I86" i="103"/>
  <c r="H86" i="103"/>
  <c r="G86" i="103"/>
  <c r="BI86" i="103" s="1"/>
  <c r="B86" i="103"/>
  <c r="BD85" i="103"/>
  <c r="BA85" i="103"/>
  <c r="AV85" i="103"/>
  <c r="AU85" i="103"/>
  <c r="AS85" i="103"/>
  <c r="AA85" i="103"/>
  <c r="L85" i="103"/>
  <c r="K85" i="103"/>
  <c r="BL85" i="103" s="1"/>
  <c r="J85" i="103"/>
  <c r="I85" i="103"/>
  <c r="H85" i="103"/>
  <c r="G85" i="103"/>
  <c r="BI85" i="103" s="1"/>
  <c r="B85" i="103"/>
  <c r="BD84" i="103"/>
  <c r="BA84" i="103"/>
  <c r="AV84" i="103"/>
  <c r="AU84" i="103"/>
  <c r="AS84" i="103"/>
  <c r="AA84" i="103"/>
  <c r="L84" i="103"/>
  <c r="K84" i="103"/>
  <c r="BL84" i="103" s="1"/>
  <c r="J84" i="103"/>
  <c r="I84" i="103"/>
  <c r="H84" i="103"/>
  <c r="G84" i="103"/>
  <c r="BI84" i="103" s="1"/>
  <c r="B84" i="103"/>
  <c r="BD83" i="103"/>
  <c r="BA83" i="103"/>
  <c r="AV83" i="103"/>
  <c r="AU83" i="103"/>
  <c r="AS83" i="103"/>
  <c r="AA83" i="103"/>
  <c r="L83" i="103"/>
  <c r="K83" i="103"/>
  <c r="BL83" i="103" s="1"/>
  <c r="J83" i="103"/>
  <c r="I83" i="103"/>
  <c r="H83" i="103"/>
  <c r="G83" i="103"/>
  <c r="BI83" i="103" s="1"/>
  <c r="B83" i="103"/>
  <c r="BD82" i="103"/>
  <c r="BA82" i="103"/>
  <c r="AV82" i="103"/>
  <c r="AU82" i="103"/>
  <c r="AS82" i="103"/>
  <c r="AA82" i="103"/>
  <c r="L82" i="103"/>
  <c r="K82" i="103"/>
  <c r="J82" i="103"/>
  <c r="I82" i="103"/>
  <c r="H82" i="103"/>
  <c r="G82" i="103"/>
  <c r="BI82" i="103" s="1"/>
  <c r="B82" i="103"/>
  <c r="BD81" i="103"/>
  <c r="BA81" i="103"/>
  <c r="AV81" i="103"/>
  <c r="AU81" i="103"/>
  <c r="AS81" i="103"/>
  <c r="AA81" i="103"/>
  <c r="L81" i="103"/>
  <c r="K81" i="103"/>
  <c r="J81" i="103"/>
  <c r="I81" i="103"/>
  <c r="H81" i="103"/>
  <c r="G81" i="103"/>
  <c r="BI81" i="103" s="1"/>
  <c r="B81" i="103"/>
  <c r="BD80" i="103"/>
  <c r="BA80" i="103"/>
  <c r="AV80" i="103"/>
  <c r="AU80" i="103"/>
  <c r="AS80" i="103"/>
  <c r="AA80" i="103"/>
  <c r="L80" i="103"/>
  <c r="K80" i="103"/>
  <c r="BL80" i="103" s="1"/>
  <c r="J80" i="103"/>
  <c r="I80" i="103"/>
  <c r="H80" i="103"/>
  <c r="G80" i="103"/>
  <c r="BI80" i="103" s="1"/>
  <c r="B80" i="103"/>
  <c r="BD79" i="103"/>
  <c r="BA79" i="103"/>
  <c r="AV79" i="103"/>
  <c r="AU79" i="103"/>
  <c r="AS79" i="103"/>
  <c r="AA79" i="103"/>
  <c r="L79" i="103"/>
  <c r="K79" i="103"/>
  <c r="J79" i="103"/>
  <c r="I79" i="103"/>
  <c r="H79" i="103"/>
  <c r="G79" i="103"/>
  <c r="BI79" i="103" s="1"/>
  <c r="B79" i="103"/>
  <c r="BD78" i="103"/>
  <c r="BA78" i="103"/>
  <c r="AV78" i="103"/>
  <c r="AU78" i="103"/>
  <c r="AS78" i="103"/>
  <c r="AA78" i="103"/>
  <c r="L78" i="103"/>
  <c r="K78" i="103"/>
  <c r="BL78" i="103" s="1"/>
  <c r="J78" i="103"/>
  <c r="I78" i="103"/>
  <c r="H78" i="103"/>
  <c r="G78" i="103"/>
  <c r="BI78" i="103" s="1"/>
  <c r="B78" i="103"/>
  <c r="BD77" i="103"/>
  <c r="BA77" i="103"/>
  <c r="AV77" i="103"/>
  <c r="AU77" i="103"/>
  <c r="AS77" i="103"/>
  <c r="AA77" i="103"/>
  <c r="L77" i="103"/>
  <c r="K77" i="103"/>
  <c r="J77" i="103"/>
  <c r="I77" i="103"/>
  <c r="H77" i="103"/>
  <c r="G77" i="103"/>
  <c r="BI77" i="103" s="1"/>
  <c r="B77" i="103"/>
  <c r="BD76" i="103"/>
  <c r="BA76" i="103"/>
  <c r="AV76" i="103"/>
  <c r="AU76" i="103"/>
  <c r="AS76" i="103"/>
  <c r="AA76" i="103"/>
  <c r="L76" i="103"/>
  <c r="K76" i="103"/>
  <c r="J76" i="103"/>
  <c r="I76" i="103"/>
  <c r="H76" i="103"/>
  <c r="G76" i="103"/>
  <c r="BI76" i="103" s="1"/>
  <c r="B76" i="103"/>
  <c r="BD75" i="103"/>
  <c r="BA75" i="103"/>
  <c r="AV75" i="103"/>
  <c r="AU75" i="103"/>
  <c r="AS75" i="103"/>
  <c r="AA75" i="103"/>
  <c r="L75" i="103"/>
  <c r="K75" i="103"/>
  <c r="BL75" i="103" s="1"/>
  <c r="J75" i="103"/>
  <c r="I75" i="103"/>
  <c r="H75" i="103"/>
  <c r="G75" i="103"/>
  <c r="BI75" i="103" s="1"/>
  <c r="B75" i="103"/>
  <c r="BD74" i="103"/>
  <c r="BA74" i="103"/>
  <c r="AV74" i="103"/>
  <c r="AU74" i="103"/>
  <c r="AS74" i="103"/>
  <c r="AA74" i="103"/>
  <c r="L74" i="103"/>
  <c r="K74" i="103"/>
  <c r="J74" i="103"/>
  <c r="I74" i="103"/>
  <c r="H74" i="103"/>
  <c r="G74" i="103"/>
  <c r="BI74" i="103" s="1"/>
  <c r="B74" i="103"/>
  <c r="BD73" i="103"/>
  <c r="BA73" i="103"/>
  <c r="AV73" i="103"/>
  <c r="AU73" i="103"/>
  <c r="AS73" i="103"/>
  <c r="AA73" i="103"/>
  <c r="L73" i="103"/>
  <c r="K73" i="103"/>
  <c r="BL73" i="103" s="1"/>
  <c r="J73" i="103"/>
  <c r="I73" i="103"/>
  <c r="H73" i="103"/>
  <c r="G73" i="103"/>
  <c r="BI73" i="103" s="1"/>
  <c r="B73" i="103"/>
  <c r="BD72" i="103"/>
  <c r="BA72" i="103"/>
  <c r="AV72" i="103"/>
  <c r="AU72" i="103"/>
  <c r="AS72" i="103"/>
  <c r="AA72" i="103"/>
  <c r="L72" i="103"/>
  <c r="K72" i="103"/>
  <c r="BB72" i="103" s="1"/>
  <c r="J72" i="103"/>
  <c r="I72" i="103"/>
  <c r="H72" i="103"/>
  <c r="G72" i="103"/>
  <c r="BI72" i="103" s="1"/>
  <c r="B72" i="103"/>
  <c r="BD71" i="103"/>
  <c r="BA71" i="103"/>
  <c r="AV71" i="103"/>
  <c r="AU71" i="103"/>
  <c r="AS71" i="103"/>
  <c r="AA71" i="103"/>
  <c r="L71" i="103"/>
  <c r="K71" i="103"/>
  <c r="BL71" i="103" s="1"/>
  <c r="J71" i="103"/>
  <c r="I71" i="103"/>
  <c r="H71" i="103"/>
  <c r="G71" i="103"/>
  <c r="BI71" i="103" s="1"/>
  <c r="B71" i="103"/>
  <c r="BD70" i="103"/>
  <c r="BA70" i="103"/>
  <c r="AV70" i="103"/>
  <c r="AU70" i="103"/>
  <c r="AS70" i="103"/>
  <c r="AA70" i="103"/>
  <c r="L70" i="103"/>
  <c r="K70" i="103"/>
  <c r="BL70" i="103" s="1"/>
  <c r="J70" i="103"/>
  <c r="I70" i="103"/>
  <c r="H70" i="103"/>
  <c r="G70" i="103"/>
  <c r="BI70" i="103" s="1"/>
  <c r="B70" i="103"/>
  <c r="BD69" i="103"/>
  <c r="BA69" i="103"/>
  <c r="AV69" i="103"/>
  <c r="AU69" i="103"/>
  <c r="AS69" i="103"/>
  <c r="AA69" i="103"/>
  <c r="L69" i="103"/>
  <c r="K69" i="103"/>
  <c r="J69" i="103"/>
  <c r="I69" i="103"/>
  <c r="H69" i="103"/>
  <c r="G69" i="103"/>
  <c r="BI69" i="103" s="1"/>
  <c r="B69" i="103"/>
  <c r="BD68" i="103"/>
  <c r="BA68" i="103"/>
  <c r="AV68" i="103"/>
  <c r="AU68" i="103"/>
  <c r="AS68" i="103"/>
  <c r="AA68" i="103"/>
  <c r="L68" i="103"/>
  <c r="K68" i="103"/>
  <c r="BL68" i="103" s="1"/>
  <c r="J68" i="103"/>
  <c r="I68" i="103"/>
  <c r="H68" i="103"/>
  <c r="G68" i="103"/>
  <c r="BI68" i="103" s="1"/>
  <c r="B68" i="103"/>
  <c r="BD67" i="103"/>
  <c r="BA67" i="103"/>
  <c r="AV67" i="103"/>
  <c r="AU67" i="103"/>
  <c r="AS67" i="103"/>
  <c r="AA67" i="103"/>
  <c r="L67" i="103"/>
  <c r="K67" i="103"/>
  <c r="BL67" i="103" s="1"/>
  <c r="J67" i="103"/>
  <c r="I67" i="103"/>
  <c r="H67" i="103"/>
  <c r="G67" i="103"/>
  <c r="BI67" i="103" s="1"/>
  <c r="B67" i="103"/>
  <c r="BD66" i="103"/>
  <c r="BA66" i="103"/>
  <c r="AV66" i="103"/>
  <c r="AU66" i="103"/>
  <c r="AS66" i="103"/>
  <c r="AA66" i="103"/>
  <c r="L66" i="103"/>
  <c r="K66" i="103"/>
  <c r="J66" i="103"/>
  <c r="I66" i="103"/>
  <c r="H66" i="103"/>
  <c r="G66" i="103"/>
  <c r="BI66" i="103" s="1"/>
  <c r="B66" i="103"/>
  <c r="BD65" i="103"/>
  <c r="BA65" i="103"/>
  <c r="AV65" i="103"/>
  <c r="AU65" i="103"/>
  <c r="AS65" i="103"/>
  <c r="AA65" i="103"/>
  <c r="L65" i="103"/>
  <c r="K65" i="103"/>
  <c r="BL65" i="103" s="1"/>
  <c r="J65" i="103"/>
  <c r="I65" i="103"/>
  <c r="H65" i="103"/>
  <c r="G65" i="103"/>
  <c r="BI65" i="103" s="1"/>
  <c r="B65" i="103"/>
  <c r="BD64" i="103"/>
  <c r="BA64" i="103"/>
  <c r="AV64" i="103"/>
  <c r="AU64" i="103"/>
  <c r="AS64" i="103"/>
  <c r="AA64" i="103"/>
  <c r="L64" i="103"/>
  <c r="K64" i="103"/>
  <c r="BL64" i="103" s="1"/>
  <c r="J64" i="103"/>
  <c r="I64" i="103"/>
  <c r="H64" i="103"/>
  <c r="G64" i="103"/>
  <c r="BI64" i="103" s="1"/>
  <c r="B64" i="103"/>
  <c r="BD63" i="103"/>
  <c r="BA63" i="103"/>
  <c r="AV63" i="103"/>
  <c r="AU63" i="103"/>
  <c r="AS63" i="103"/>
  <c r="AA63" i="103"/>
  <c r="L63" i="103"/>
  <c r="K63" i="103"/>
  <c r="J63" i="103"/>
  <c r="I63" i="103"/>
  <c r="H63" i="103"/>
  <c r="G63" i="103"/>
  <c r="BI63" i="103" s="1"/>
  <c r="B63" i="103"/>
  <c r="BD62" i="103"/>
  <c r="BA62" i="103"/>
  <c r="AV62" i="103"/>
  <c r="AU62" i="103"/>
  <c r="AS62" i="103"/>
  <c r="AA62" i="103"/>
  <c r="L62" i="103"/>
  <c r="K62" i="103"/>
  <c r="AY62" i="103" s="1"/>
  <c r="J62" i="103"/>
  <c r="I62" i="103"/>
  <c r="H62" i="103"/>
  <c r="G62" i="103"/>
  <c r="BI62" i="103" s="1"/>
  <c r="B62" i="103"/>
  <c r="BD61" i="103"/>
  <c r="BA61" i="103"/>
  <c r="AV61" i="103"/>
  <c r="AU61" i="103"/>
  <c r="AS61" i="103"/>
  <c r="AA61" i="103"/>
  <c r="L61" i="103"/>
  <c r="K61" i="103"/>
  <c r="BL61" i="103" s="1"/>
  <c r="J61" i="103"/>
  <c r="I61" i="103"/>
  <c r="H61" i="103"/>
  <c r="G61" i="103"/>
  <c r="BI61" i="103" s="1"/>
  <c r="B61" i="103"/>
  <c r="BD60" i="103"/>
  <c r="BA60" i="103"/>
  <c r="AV60" i="103"/>
  <c r="AU60" i="103"/>
  <c r="AS60" i="103"/>
  <c r="AA60" i="103"/>
  <c r="L60" i="103"/>
  <c r="K60" i="103"/>
  <c r="BL60" i="103" s="1"/>
  <c r="J60" i="103"/>
  <c r="I60" i="103"/>
  <c r="H60" i="103"/>
  <c r="G60" i="103"/>
  <c r="BI60" i="103" s="1"/>
  <c r="B60" i="103"/>
  <c r="BD59" i="103"/>
  <c r="BA59" i="103"/>
  <c r="AV59" i="103"/>
  <c r="AU59" i="103"/>
  <c r="AS59" i="103"/>
  <c r="AA59" i="103"/>
  <c r="L59" i="103"/>
  <c r="K59" i="103"/>
  <c r="J59" i="103"/>
  <c r="I59" i="103"/>
  <c r="H59" i="103"/>
  <c r="G59" i="103"/>
  <c r="BI59" i="103" s="1"/>
  <c r="B59" i="103"/>
  <c r="BD58" i="103"/>
  <c r="BA58" i="103"/>
  <c r="AV58" i="103"/>
  <c r="AU58" i="103"/>
  <c r="AS58" i="103"/>
  <c r="AA58" i="103"/>
  <c r="L58" i="103"/>
  <c r="K58" i="103"/>
  <c r="J58" i="103"/>
  <c r="I58" i="103"/>
  <c r="H58" i="103"/>
  <c r="G58" i="103"/>
  <c r="BI58" i="103" s="1"/>
  <c r="B58" i="103"/>
  <c r="BD57" i="103"/>
  <c r="BA57" i="103"/>
  <c r="AV57" i="103"/>
  <c r="AU57" i="103"/>
  <c r="AS57" i="103"/>
  <c r="AA57" i="103"/>
  <c r="L57" i="103"/>
  <c r="K57" i="103"/>
  <c r="BL57" i="103" s="1"/>
  <c r="J57" i="103"/>
  <c r="I57" i="103"/>
  <c r="H57" i="103"/>
  <c r="G57" i="103"/>
  <c r="BI57" i="103" s="1"/>
  <c r="B57" i="103"/>
  <c r="BD56" i="103"/>
  <c r="BA56" i="103"/>
  <c r="AV56" i="103"/>
  <c r="AU56" i="103"/>
  <c r="AS56" i="103"/>
  <c r="AA56" i="103"/>
  <c r="L56" i="103"/>
  <c r="K56" i="103"/>
  <c r="AO56" i="103" s="1"/>
  <c r="J56" i="103"/>
  <c r="I56" i="103"/>
  <c r="H56" i="103"/>
  <c r="G56" i="103"/>
  <c r="BI56" i="103" s="1"/>
  <c r="B56" i="103"/>
  <c r="BD55" i="103"/>
  <c r="BA55" i="103"/>
  <c r="AV55" i="103"/>
  <c r="AU55" i="103"/>
  <c r="AS55" i="103"/>
  <c r="AA55" i="103"/>
  <c r="L55" i="103"/>
  <c r="K55" i="103"/>
  <c r="BL55" i="103" s="1"/>
  <c r="J55" i="103"/>
  <c r="I55" i="103"/>
  <c r="H55" i="103"/>
  <c r="G55" i="103"/>
  <c r="BI55" i="103" s="1"/>
  <c r="B55" i="103"/>
  <c r="BD54" i="103"/>
  <c r="BA54" i="103"/>
  <c r="AV54" i="103"/>
  <c r="AU54" i="103"/>
  <c r="AS54" i="103"/>
  <c r="AA54" i="103"/>
  <c r="L54" i="103"/>
  <c r="K54" i="103"/>
  <c r="BB54" i="103" s="1"/>
  <c r="J54" i="103"/>
  <c r="I54" i="103"/>
  <c r="H54" i="103"/>
  <c r="G54" i="103"/>
  <c r="BI54" i="103" s="1"/>
  <c r="B54" i="103"/>
  <c r="BD53" i="103"/>
  <c r="BA53" i="103"/>
  <c r="AV53" i="103"/>
  <c r="AU53" i="103"/>
  <c r="AS53" i="103"/>
  <c r="AA53" i="103"/>
  <c r="L53" i="103"/>
  <c r="K53" i="103"/>
  <c r="J53" i="103"/>
  <c r="I53" i="103"/>
  <c r="H53" i="103"/>
  <c r="G53" i="103"/>
  <c r="BI53" i="103" s="1"/>
  <c r="B53" i="103"/>
  <c r="BD52" i="103"/>
  <c r="BA52" i="103"/>
  <c r="AV52" i="103"/>
  <c r="AU52" i="103"/>
  <c r="AS52" i="103"/>
  <c r="AA52" i="103"/>
  <c r="L52" i="103"/>
  <c r="K52" i="103"/>
  <c r="J52" i="103"/>
  <c r="I52" i="103"/>
  <c r="H52" i="103"/>
  <c r="G52" i="103"/>
  <c r="BI52" i="103" s="1"/>
  <c r="B52" i="103"/>
  <c r="BD51" i="103"/>
  <c r="BA51" i="103"/>
  <c r="AV51" i="103"/>
  <c r="AU51" i="103"/>
  <c r="AS51" i="103"/>
  <c r="AA51" i="103"/>
  <c r="L51" i="103"/>
  <c r="K51" i="103"/>
  <c r="BL51" i="103" s="1"/>
  <c r="J51" i="103"/>
  <c r="I51" i="103"/>
  <c r="H51" i="103"/>
  <c r="G51" i="103"/>
  <c r="BI51" i="103" s="1"/>
  <c r="B51" i="103"/>
  <c r="BD50" i="103"/>
  <c r="BA50" i="103"/>
  <c r="AV50" i="103"/>
  <c r="AU50" i="103"/>
  <c r="AS50" i="103"/>
  <c r="AA50" i="103"/>
  <c r="L50" i="103"/>
  <c r="K50" i="103"/>
  <c r="J50" i="103"/>
  <c r="I50" i="103"/>
  <c r="H50" i="103"/>
  <c r="G50" i="103"/>
  <c r="BI50" i="103" s="1"/>
  <c r="B50" i="103"/>
  <c r="BD49" i="103"/>
  <c r="BA49" i="103"/>
  <c r="AV49" i="103"/>
  <c r="AU49" i="103"/>
  <c r="AS49" i="103"/>
  <c r="AA49" i="103"/>
  <c r="L49" i="103"/>
  <c r="K49" i="103"/>
  <c r="J49" i="103"/>
  <c r="I49" i="103"/>
  <c r="H49" i="103"/>
  <c r="G49" i="103"/>
  <c r="BI49" i="103" s="1"/>
  <c r="B49" i="103"/>
  <c r="BD48" i="103"/>
  <c r="BA48" i="103"/>
  <c r="AV48" i="103"/>
  <c r="AU48" i="103"/>
  <c r="AS48" i="103"/>
  <c r="AA48" i="103"/>
  <c r="L48" i="103"/>
  <c r="K48" i="103"/>
  <c r="J48" i="103"/>
  <c r="I48" i="103"/>
  <c r="H48" i="103"/>
  <c r="G48" i="103"/>
  <c r="BI48" i="103" s="1"/>
  <c r="B48" i="103"/>
  <c r="BD47" i="103"/>
  <c r="BA47" i="103"/>
  <c r="AV47" i="103"/>
  <c r="AU47" i="103"/>
  <c r="AS47" i="103"/>
  <c r="AA47" i="103"/>
  <c r="L47" i="103"/>
  <c r="K47" i="103"/>
  <c r="BL47" i="103" s="1"/>
  <c r="J47" i="103"/>
  <c r="I47" i="103"/>
  <c r="H47" i="103"/>
  <c r="G47" i="103"/>
  <c r="BI47" i="103" s="1"/>
  <c r="B47" i="103"/>
  <c r="BD46" i="103"/>
  <c r="BA46" i="103"/>
  <c r="AV46" i="103"/>
  <c r="AU46" i="103"/>
  <c r="AS46" i="103"/>
  <c r="AA46" i="103"/>
  <c r="P46" i="103"/>
  <c r="L46" i="103"/>
  <c r="K46" i="103"/>
  <c r="AO46" i="103" s="1"/>
  <c r="J46" i="103"/>
  <c r="I46" i="103"/>
  <c r="H46" i="103"/>
  <c r="G46" i="103"/>
  <c r="BI46" i="103" s="1"/>
  <c r="B46" i="103"/>
  <c r="BD45" i="103"/>
  <c r="BA45" i="103"/>
  <c r="AV45" i="103"/>
  <c r="AU45" i="103"/>
  <c r="AS45" i="103"/>
  <c r="AA45" i="103"/>
  <c r="L45" i="103"/>
  <c r="K45" i="103"/>
  <c r="BL45" i="103" s="1"/>
  <c r="J45" i="103"/>
  <c r="I45" i="103"/>
  <c r="H45" i="103"/>
  <c r="G45" i="103"/>
  <c r="BI45" i="103" s="1"/>
  <c r="B45" i="103"/>
  <c r="BD44" i="103"/>
  <c r="BA44" i="103"/>
  <c r="AV44" i="103"/>
  <c r="AU44" i="103"/>
  <c r="AS44" i="103"/>
  <c r="AA44" i="103"/>
  <c r="L44" i="103"/>
  <c r="K44" i="103"/>
  <c r="J44" i="103"/>
  <c r="I44" i="103"/>
  <c r="H44" i="103"/>
  <c r="G44" i="103"/>
  <c r="BI44" i="103" s="1"/>
  <c r="B44" i="103"/>
  <c r="BD43" i="103"/>
  <c r="BA43" i="103"/>
  <c r="AV43" i="103"/>
  <c r="AU43" i="103"/>
  <c r="AS43" i="103"/>
  <c r="AA43" i="103"/>
  <c r="L43" i="103"/>
  <c r="K43" i="103"/>
  <c r="J43" i="103"/>
  <c r="I43" i="103"/>
  <c r="H43" i="103"/>
  <c r="G43" i="103"/>
  <c r="BI43" i="103" s="1"/>
  <c r="B43" i="103"/>
  <c r="BD42" i="103"/>
  <c r="BA42" i="103"/>
  <c r="AV42" i="103"/>
  <c r="AU42" i="103"/>
  <c r="AS42" i="103"/>
  <c r="AA42" i="103"/>
  <c r="L42" i="103"/>
  <c r="K42" i="103"/>
  <c r="J42" i="103"/>
  <c r="I42" i="103"/>
  <c r="H42" i="103"/>
  <c r="G42" i="103"/>
  <c r="BI42" i="103" s="1"/>
  <c r="B42" i="103"/>
  <c r="BD41" i="103"/>
  <c r="BA41" i="103"/>
  <c r="AV41" i="103"/>
  <c r="AU41" i="103"/>
  <c r="AS41" i="103"/>
  <c r="AA41" i="103"/>
  <c r="L41" i="103"/>
  <c r="K41" i="103"/>
  <c r="J41" i="103"/>
  <c r="I41" i="103"/>
  <c r="H41" i="103"/>
  <c r="G41" i="103"/>
  <c r="BI41" i="103" s="1"/>
  <c r="B41" i="103"/>
  <c r="BD40" i="103"/>
  <c r="BA40" i="103"/>
  <c r="AV40" i="103"/>
  <c r="AU40" i="103"/>
  <c r="AS40" i="103"/>
  <c r="AO40" i="103"/>
  <c r="AA40" i="103"/>
  <c r="L40" i="103"/>
  <c r="K40" i="103"/>
  <c r="J40" i="103"/>
  <c r="I40" i="103"/>
  <c r="H40" i="103"/>
  <c r="G40" i="103"/>
  <c r="BI40" i="103" s="1"/>
  <c r="B40" i="103"/>
  <c r="BD39" i="103"/>
  <c r="BA39" i="103"/>
  <c r="AV39" i="103"/>
  <c r="AU39" i="103"/>
  <c r="AS39" i="103"/>
  <c r="AA39" i="103"/>
  <c r="L39" i="103"/>
  <c r="K39" i="103"/>
  <c r="BL39" i="103" s="1"/>
  <c r="J39" i="103"/>
  <c r="I39" i="103"/>
  <c r="H39" i="103"/>
  <c r="G39" i="103"/>
  <c r="BI39" i="103" s="1"/>
  <c r="B39" i="103"/>
  <c r="BD38" i="103"/>
  <c r="BA38" i="103"/>
  <c r="AV38" i="103"/>
  <c r="AU38" i="103"/>
  <c r="AS38" i="103"/>
  <c r="AA38" i="103"/>
  <c r="L38" i="103"/>
  <c r="K38" i="103"/>
  <c r="BL38" i="103" s="1"/>
  <c r="J38" i="103"/>
  <c r="I38" i="103"/>
  <c r="H38" i="103"/>
  <c r="G38" i="103"/>
  <c r="BI38" i="103" s="1"/>
  <c r="B38" i="103"/>
  <c r="BD37" i="103"/>
  <c r="BA37" i="103"/>
  <c r="AV37" i="103"/>
  <c r="AU37" i="103"/>
  <c r="AS37" i="103"/>
  <c r="AA37" i="103"/>
  <c r="L37" i="103"/>
  <c r="K37" i="103"/>
  <c r="BL37" i="103" s="1"/>
  <c r="J37" i="103"/>
  <c r="I37" i="103"/>
  <c r="H37" i="103"/>
  <c r="G37" i="103"/>
  <c r="BI37" i="103" s="1"/>
  <c r="B37" i="103"/>
  <c r="BD36" i="103"/>
  <c r="BA36" i="103"/>
  <c r="AV36" i="103"/>
  <c r="AU36" i="103"/>
  <c r="AS36" i="103"/>
  <c r="AA36" i="103"/>
  <c r="L36" i="103"/>
  <c r="K36" i="103"/>
  <c r="BL36" i="103" s="1"/>
  <c r="J36" i="103"/>
  <c r="I36" i="103"/>
  <c r="H36" i="103"/>
  <c r="G36" i="103"/>
  <c r="BI36" i="103" s="1"/>
  <c r="B36" i="103"/>
  <c r="BD35" i="103"/>
  <c r="BA35" i="103"/>
  <c r="AV35" i="103"/>
  <c r="AU35" i="103"/>
  <c r="AS35" i="103"/>
  <c r="AA35" i="103"/>
  <c r="L35" i="103"/>
  <c r="K35" i="103"/>
  <c r="BL35" i="103" s="1"/>
  <c r="J35" i="103"/>
  <c r="I35" i="103"/>
  <c r="H35" i="103"/>
  <c r="G35" i="103"/>
  <c r="BI35" i="103" s="1"/>
  <c r="B35" i="103"/>
  <c r="BD34" i="103"/>
  <c r="BA34" i="103"/>
  <c r="AV34" i="103"/>
  <c r="AU34" i="103"/>
  <c r="AS34" i="103"/>
  <c r="AA34" i="103"/>
  <c r="L34" i="103"/>
  <c r="K34" i="103"/>
  <c r="BL34" i="103" s="1"/>
  <c r="J34" i="103"/>
  <c r="I34" i="103"/>
  <c r="H34" i="103"/>
  <c r="G34" i="103"/>
  <c r="BI34" i="103" s="1"/>
  <c r="B34" i="103"/>
  <c r="BD33" i="103"/>
  <c r="BA33" i="103"/>
  <c r="AV33" i="103"/>
  <c r="AU33" i="103"/>
  <c r="AS33" i="103"/>
  <c r="AA33" i="103"/>
  <c r="L33" i="103"/>
  <c r="K33" i="103"/>
  <c r="AY33" i="103" s="1"/>
  <c r="J33" i="103"/>
  <c r="I33" i="103"/>
  <c r="H33" i="103"/>
  <c r="G33" i="103"/>
  <c r="BI33" i="103" s="1"/>
  <c r="B33" i="103"/>
  <c r="BD32" i="103"/>
  <c r="BA32" i="103"/>
  <c r="AV32" i="103"/>
  <c r="AU32" i="103"/>
  <c r="AS32" i="103"/>
  <c r="AA32" i="103"/>
  <c r="L32" i="103"/>
  <c r="K32" i="103"/>
  <c r="J32" i="103"/>
  <c r="I32" i="103"/>
  <c r="H32" i="103"/>
  <c r="G32" i="103"/>
  <c r="BI32" i="103" s="1"/>
  <c r="B32" i="103"/>
  <c r="BD31" i="103"/>
  <c r="BA31" i="103"/>
  <c r="AV31" i="103"/>
  <c r="AU31" i="103"/>
  <c r="AS31" i="103"/>
  <c r="AA31" i="103"/>
  <c r="L31" i="103"/>
  <c r="K31" i="103"/>
  <c r="J31" i="103"/>
  <c r="I31" i="103"/>
  <c r="H31" i="103"/>
  <c r="G31" i="103"/>
  <c r="BI31" i="103" s="1"/>
  <c r="B31" i="103"/>
  <c r="BD30" i="103"/>
  <c r="BA30" i="103"/>
  <c r="AV30" i="103"/>
  <c r="AU30" i="103"/>
  <c r="AS30" i="103"/>
  <c r="AA30" i="103"/>
  <c r="L30" i="103"/>
  <c r="K30" i="103"/>
  <c r="BL30" i="103" s="1"/>
  <c r="J30" i="103"/>
  <c r="I30" i="103"/>
  <c r="H30" i="103"/>
  <c r="G30" i="103"/>
  <c r="BI30" i="103" s="1"/>
  <c r="B30" i="103"/>
  <c r="BD29" i="103"/>
  <c r="BA29" i="103"/>
  <c r="AV29" i="103"/>
  <c r="AU29" i="103"/>
  <c r="AS29" i="103"/>
  <c r="AA29" i="103"/>
  <c r="L29" i="103"/>
  <c r="K29" i="103"/>
  <c r="BL29" i="103" s="1"/>
  <c r="J29" i="103"/>
  <c r="I29" i="103"/>
  <c r="H29" i="103"/>
  <c r="G29" i="103"/>
  <c r="BI29" i="103" s="1"/>
  <c r="B29" i="103"/>
  <c r="BI28" i="103"/>
  <c r="BD28" i="103"/>
  <c r="BA28" i="103"/>
  <c r="AV28" i="103"/>
  <c r="AU28" i="103"/>
  <c r="AS28" i="103"/>
  <c r="AA28" i="103"/>
  <c r="L28" i="103"/>
  <c r="K28" i="103"/>
  <c r="J28" i="103"/>
  <c r="I28" i="103"/>
  <c r="H28" i="103"/>
  <c r="G28" i="103"/>
  <c r="B28" i="103"/>
  <c r="BD27" i="103"/>
  <c r="BA27" i="103"/>
  <c r="AV27" i="103"/>
  <c r="AU27" i="103"/>
  <c r="AS27" i="103"/>
  <c r="AA27" i="103"/>
  <c r="L27" i="103"/>
  <c r="K27" i="103"/>
  <c r="BL27" i="103" s="1"/>
  <c r="J27" i="103"/>
  <c r="I27" i="103"/>
  <c r="H27" i="103"/>
  <c r="G27" i="103"/>
  <c r="BI27" i="103" s="1"/>
  <c r="B27" i="103"/>
  <c r="BD26" i="103"/>
  <c r="BA26" i="103"/>
  <c r="AV26" i="103"/>
  <c r="AU26" i="103"/>
  <c r="AS26" i="103"/>
  <c r="AA26" i="103"/>
  <c r="L26" i="103"/>
  <c r="K26" i="103"/>
  <c r="BL26" i="103" s="1"/>
  <c r="J26" i="103"/>
  <c r="I26" i="103"/>
  <c r="H26" i="103"/>
  <c r="G26" i="103"/>
  <c r="BI26" i="103" s="1"/>
  <c r="B26" i="103"/>
  <c r="BD25" i="103"/>
  <c r="BA25" i="103"/>
  <c r="AV25" i="103"/>
  <c r="AU25" i="103"/>
  <c r="AS25" i="103"/>
  <c r="AA25" i="103"/>
  <c r="L25" i="103"/>
  <c r="K25" i="103"/>
  <c r="J25" i="103"/>
  <c r="I25" i="103"/>
  <c r="H25" i="103"/>
  <c r="G25" i="103"/>
  <c r="BI25" i="103" s="1"/>
  <c r="B25" i="103"/>
  <c r="BD24" i="103"/>
  <c r="BA24" i="103"/>
  <c r="AV24" i="103"/>
  <c r="AU24" i="103"/>
  <c r="AS24" i="103"/>
  <c r="AA24" i="103"/>
  <c r="L24" i="103"/>
  <c r="K24" i="103"/>
  <c r="J24" i="103"/>
  <c r="I24" i="103"/>
  <c r="H24" i="103"/>
  <c r="G24" i="103"/>
  <c r="BI24" i="103" s="1"/>
  <c r="B24" i="103"/>
  <c r="BD23" i="103"/>
  <c r="BA23" i="103"/>
  <c r="AV23" i="103"/>
  <c r="AU23" i="103"/>
  <c r="AS23" i="103"/>
  <c r="AA23" i="103"/>
  <c r="L23" i="103"/>
  <c r="K23" i="103"/>
  <c r="J23" i="103"/>
  <c r="I23" i="103"/>
  <c r="H23" i="103"/>
  <c r="G23" i="103"/>
  <c r="BI23" i="103" s="1"/>
  <c r="B23" i="103"/>
  <c r="BD22" i="103"/>
  <c r="BA22" i="103"/>
  <c r="AV22" i="103"/>
  <c r="AU22" i="103"/>
  <c r="AS22" i="103"/>
  <c r="AA22" i="103"/>
  <c r="L22" i="103"/>
  <c r="K22" i="103"/>
  <c r="J22" i="103"/>
  <c r="I22" i="103"/>
  <c r="H22" i="103"/>
  <c r="G22" i="103"/>
  <c r="BI22" i="103" s="1"/>
  <c r="B22" i="103"/>
  <c r="BD21" i="103"/>
  <c r="BA21" i="103"/>
  <c r="AV21" i="103"/>
  <c r="AU21" i="103"/>
  <c r="AS21" i="103"/>
  <c r="AA21" i="103"/>
  <c r="K21" i="103"/>
  <c r="BL21" i="103" s="1"/>
  <c r="J21" i="103"/>
  <c r="I21" i="103"/>
  <c r="H21" i="103"/>
  <c r="G21" i="103"/>
  <c r="BI21" i="103" s="1"/>
  <c r="B21" i="103"/>
  <c r="BD20" i="103"/>
  <c r="BA20" i="103"/>
  <c r="AV20" i="103"/>
  <c r="AU20" i="103"/>
  <c r="AS20" i="103"/>
  <c r="AA20" i="103"/>
  <c r="BO20" i="103" s="1"/>
  <c r="K20" i="103"/>
  <c r="J20" i="103"/>
  <c r="I20" i="103"/>
  <c r="H20" i="103"/>
  <c r="G20" i="103"/>
  <c r="BI20" i="103" s="1"/>
  <c r="B20" i="103"/>
  <c r="BD19" i="103"/>
  <c r="BA19" i="103"/>
  <c r="AV19" i="103"/>
  <c r="AU19" i="103"/>
  <c r="AS19" i="103"/>
  <c r="AA19" i="103"/>
  <c r="L19" i="103"/>
  <c r="K19" i="103"/>
  <c r="BL19" i="103" s="1"/>
  <c r="J19" i="103"/>
  <c r="I19" i="103"/>
  <c r="H19" i="103"/>
  <c r="G19" i="103"/>
  <c r="BI19" i="103" s="1"/>
  <c r="B19" i="103"/>
  <c r="BD18" i="103"/>
  <c r="BA18" i="103"/>
  <c r="AV18" i="103"/>
  <c r="AU18" i="103"/>
  <c r="AS18" i="103"/>
  <c r="AA18" i="103"/>
  <c r="BU18" i="103" s="1"/>
  <c r="BU11" i="103" s="1"/>
  <c r="BV10" i="103" s="1"/>
  <c r="W109" i="105" s="1"/>
  <c r="L18" i="103"/>
  <c r="K18" i="103"/>
  <c r="BL18" i="103" s="1"/>
  <c r="J18" i="103"/>
  <c r="I18" i="103"/>
  <c r="H18" i="103"/>
  <c r="G18" i="103"/>
  <c r="BI18" i="103" s="1"/>
  <c r="B18" i="103"/>
  <c r="BD17" i="103"/>
  <c r="BA17" i="103"/>
  <c r="AV17" i="103"/>
  <c r="AU17" i="103"/>
  <c r="AS17" i="103"/>
  <c r="AA17" i="103"/>
  <c r="L17" i="103"/>
  <c r="K17" i="103"/>
  <c r="J17" i="103"/>
  <c r="I17" i="103"/>
  <c r="H17" i="103"/>
  <c r="G17" i="103"/>
  <c r="BI17" i="103" s="1"/>
  <c r="B17" i="103"/>
  <c r="BD16" i="103"/>
  <c r="BA16" i="103"/>
  <c r="AV16" i="103"/>
  <c r="AU16" i="103"/>
  <c r="AS16" i="103"/>
  <c r="AA16" i="103"/>
  <c r="L16" i="103"/>
  <c r="K16" i="103"/>
  <c r="J16" i="103"/>
  <c r="I16" i="103"/>
  <c r="H16" i="103"/>
  <c r="G16" i="103"/>
  <c r="BI16" i="103" s="1"/>
  <c r="B16" i="103"/>
  <c r="BD15" i="103"/>
  <c r="BA15" i="103"/>
  <c r="AV15" i="103"/>
  <c r="AU15" i="103"/>
  <c r="AS15" i="103"/>
  <c r="AA15" i="103"/>
  <c r="L15" i="103"/>
  <c r="AE15" i="103" s="1"/>
  <c r="K15" i="103"/>
  <c r="BL15" i="103" s="1"/>
  <c r="J15" i="103"/>
  <c r="I15" i="103"/>
  <c r="H15" i="103"/>
  <c r="G15" i="103"/>
  <c r="BI15" i="103" s="1"/>
  <c r="B15" i="103"/>
  <c r="BD14" i="103"/>
  <c r="BA14" i="103"/>
  <c r="AV14" i="103"/>
  <c r="AU14" i="103"/>
  <c r="AS14" i="103"/>
  <c r="AA14" i="103"/>
  <c r="L14" i="103"/>
  <c r="K14" i="103"/>
  <c r="J14" i="103"/>
  <c r="I14" i="103"/>
  <c r="H14" i="103"/>
  <c r="G14" i="103"/>
  <c r="BI14" i="103" s="1"/>
  <c r="B14" i="103"/>
  <c r="BD13" i="103"/>
  <c r="BA13" i="103"/>
  <c r="AV13" i="103"/>
  <c r="AS13" i="103"/>
  <c r="AA13" i="103"/>
  <c r="L13" i="103"/>
  <c r="K13" i="103"/>
  <c r="J13" i="103"/>
  <c r="I13" i="103"/>
  <c r="H13" i="103"/>
  <c r="G13" i="103"/>
  <c r="BI13" i="103" s="1"/>
  <c r="B13" i="103"/>
  <c r="D3" i="103"/>
  <c r="AK1" i="103"/>
  <c r="AE108" i="103" l="1"/>
  <c r="AO78" i="103"/>
  <c r="AT78" i="103" s="1"/>
  <c r="AE110" i="103"/>
  <c r="BB46" i="103"/>
  <c r="AK46" i="105"/>
  <c r="AY51" i="103"/>
  <c r="BO13" i="103"/>
  <c r="BO11" i="103" s="1"/>
  <c r="P13" i="103"/>
  <c r="AC13" i="103" s="1"/>
  <c r="BC46" i="103"/>
  <c r="BE46" i="103" s="1"/>
  <c r="AZ46" i="103"/>
  <c r="BB19" i="103"/>
  <c r="AP32" i="103"/>
  <c r="BL32" i="103"/>
  <c r="AE47" i="103"/>
  <c r="AE68" i="103"/>
  <c r="AP76" i="103"/>
  <c r="BL76" i="103"/>
  <c r="AP82" i="103"/>
  <c r="BL82" i="103"/>
  <c r="BB103" i="103"/>
  <c r="AE104" i="103"/>
  <c r="AP16" i="103"/>
  <c r="BL16" i="103"/>
  <c r="AP25" i="103"/>
  <c r="BL25" i="103"/>
  <c r="AP28" i="103"/>
  <c r="BL28" i="103"/>
  <c r="BC40" i="103"/>
  <c r="BE40" i="103" s="1"/>
  <c r="AZ40" i="103"/>
  <c r="AP42" i="103"/>
  <c r="BL42" i="103"/>
  <c r="AP49" i="103"/>
  <c r="BL49" i="103"/>
  <c r="AP52" i="103"/>
  <c r="BL52" i="103"/>
  <c r="BC56" i="103"/>
  <c r="BE56" i="103" s="1"/>
  <c r="AZ56" i="103"/>
  <c r="AP58" i="103"/>
  <c r="BL58" i="103"/>
  <c r="AP79" i="103"/>
  <c r="BL79" i="103"/>
  <c r="AO100" i="103"/>
  <c r="AT100" i="103" s="1"/>
  <c r="BL100" i="103"/>
  <c r="AE19" i="103"/>
  <c r="AO22" i="103"/>
  <c r="AX22" i="103" s="1"/>
  <c r="BL22" i="103"/>
  <c r="AP13" i="103"/>
  <c r="BL13" i="103"/>
  <c r="P19" i="103"/>
  <c r="AE22" i="103"/>
  <c r="BB27" i="103"/>
  <c r="AO29" i="103"/>
  <c r="AT29" i="103" s="1"/>
  <c r="AE35" i="103"/>
  <c r="AO36" i="103"/>
  <c r="AT36" i="103" s="1"/>
  <c r="BB38" i="103"/>
  <c r="AE45" i="103"/>
  <c r="AO88" i="103"/>
  <c r="AY95" i="103"/>
  <c r="AY98" i="103"/>
  <c r="AE106" i="103"/>
  <c r="P22" i="103"/>
  <c r="AD22" i="103" s="1"/>
  <c r="AP31" i="103"/>
  <c r="BL31" i="103"/>
  <c r="BB44" i="103"/>
  <c r="BL44" i="103"/>
  <c r="AP54" i="103"/>
  <c r="BL54" i="103"/>
  <c r="AO63" i="103"/>
  <c r="AX63" i="103" s="1"/>
  <c r="BL63" i="103"/>
  <c r="AY65" i="103"/>
  <c r="AO72" i="103"/>
  <c r="AR72" i="103" s="1"/>
  <c r="BL72" i="103"/>
  <c r="AO81" i="103"/>
  <c r="BL81" i="103"/>
  <c r="P87" i="103"/>
  <c r="AP99" i="103"/>
  <c r="BL99" i="103"/>
  <c r="P106" i="103"/>
  <c r="AC106" i="103" s="1"/>
  <c r="AO110" i="103"/>
  <c r="AR110" i="103" s="1"/>
  <c r="AP24" i="103"/>
  <c r="BL24" i="103"/>
  <c r="AP41" i="103"/>
  <c r="BL41" i="103"/>
  <c r="AP48" i="103"/>
  <c r="BL48" i="103"/>
  <c r="AE51" i="103"/>
  <c r="AE54" i="103"/>
  <c r="AE60" i="103"/>
  <c r="AE63" i="103"/>
  <c r="AP66" i="103"/>
  <c r="BL66" i="103"/>
  <c r="AP69" i="103"/>
  <c r="BL69" i="103"/>
  <c r="AE72" i="103"/>
  <c r="AO92" i="103"/>
  <c r="AT92" i="103" s="1"/>
  <c r="BL92" i="103"/>
  <c r="BB98" i="103"/>
  <c r="AE99" i="103"/>
  <c r="AP105" i="103"/>
  <c r="BL105" i="103"/>
  <c r="AP108" i="103"/>
  <c r="BL108" i="103"/>
  <c r="AP33" i="103"/>
  <c r="BL33" i="103"/>
  <c r="AP62" i="103"/>
  <c r="BL62" i="103"/>
  <c r="BB65" i="103"/>
  <c r="AP77" i="103"/>
  <c r="BL77" i="103"/>
  <c r="AP89" i="103"/>
  <c r="BL89" i="103"/>
  <c r="AP17" i="103"/>
  <c r="BL17" i="103"/>
  <c r="AP40" i="103"/>
  <c r="BL40" i="103"/>
  <c r="AP43" i="103"/>
  <c r="BL43" i="103"/>
  <c r="AO44" i="103"/>
  <c r="AL44" i="103" s="1"/>
  <c r="AP46" i="103"/>
  <c r="BL46" i="103"/>
  <c r="AY46" i="103"/>
  <c r="AP50" i="103"/>
  <c r="BL50" i="103"/>
  <c r="AP53" i="103"/>
  <c r="BL53" i="103"/>
  <c r="AP56" i="103"/>
  <c r="BL56" i="103"/>
  <c r="AP59" i="103"/>
  <c r="BL59" i="103"/>
  <c r="AE65" i="103"/>
  <c r="AP74" i="103"/>
  <c r="BL74" i="103"/>
  <c r="BC78" i="103"/>
  <c r="BE78" i="103" s="1"/>
  <c r="AO14" i="103"/>
  <c r="AT14" i="103" s="1"/>
  <c r="BL14" i="103"/>
  <c r="AP20" i="103"/>
  <c r="BL20" i="103"/>
  <c r="AP23" i="103"/>
  <c r="BL23" i="103"/>
  <c r="P30" i="103"/>
  <c r="AC30" i="103" s="1"/>
  <c r="P33" i="103"/>
  <c r="AD33" i="103" s="1"/>
  <c r="AY35" i="103"/>
  <c r="BB36" i="103"/>
  <c r="AE43" i="103"/>
  <c r="AE46" i="103"/>
  <c r="AY67" i="103"/>
  <c r="AE74" i="103"/>
  <c r="AP91" i="103"/>
  <c r="BL91" i="103"/>
  <c r="AP97" i="103"/>
  <c r="BL97" i="103"/>
  <c r="AY100" i="103"/>
  <c r="AO104" i="103"/>
  <c r="AR104" i="103" s="1"/>
  <c r="BL104" i="103"/>
  <c r="AP107" i="103"/>
  <c r="BL107" i="103"/>
  <c r="AT81" i="103"/>
  <c r="AE18" i="103"/>
  <c r="AE29" i="103"/>
  <c r="AQ29" i="103" s="1"/>
  <c r="P37" i="103"/>
  <c r="AC37" i="103" s="1"/>
  <c r="AP37" i="103"/>
  <c r="AE57" i="103"/>
  <c r="AE61" i="103"/>
  <c r="AO64" i="103"/>
  <c r="AP64" i="103"/>
  <c r="AE67" i="103"/>
  <c r="AE82" i="103"/>
  <c r="AY83" i="103"/>
  <c r="AP83" i="103"/>
  <c r="AO86" i="103"/>
  <c r="AP86" i="103"/>
  <c r="AE89" i="103"/>
  <c r="AO90" i="103"/>
  <c r="AR90" i="103" s="1"/>
  <c r="AP90" i="103"/>
  <c r="AE95" i="103"/>
  <c r="AO101" i="103"/>
  <c r="AL101" i="103" s="1"/>
  <c r="AP101" i="103"/>
  <c r="AT40" i="103"/>
  <c r="AE17" i="103"/>
  <c r="AE26" i="103"/>
  <c r="AY27" i="103"/>
  <c r="AP27" i="103"/>
  <c r="AE27" i="103"/>
  <c r="AO28" i="103"/>
  <c r="AR28" i="103" s="1"/>
  <c r="AY30" i="103"/>
  <c r="AP30" i="103"/>
  <c r="AO34" i="103"/>
  <c r="AX34" i="103" s="1"/>
  <c r="AP34" i="103"/>
  <c r="AE37" i="103"/>
  <c r="AY38" i="103"/>
  <c r="AP38" i="103"/>
  <c r="BB40" i="103"/>
  <c r="AO48" i="103"/>
  <c r="AE49" i="103"/>
  <c r="AP55" i="103"/>
  <c r="AE62" i="103"/>
  <c r="AE64" i="103"/>
  <c r="AP73" i="103"/>
  <c r="AE77" i="103"/>
  <c r="AE79" i="103"/>
  <c r="AP80" i="103"/>
  <c r="AE83" i="103"/>
  <c r="AP84" i="103"/>
  <c r="AE86" i="103"/>
  <c r="AQ86" i="103" s="1"/>
  <c r="AE90" i="103"/>
  <c r="AQ90" i="103" s="1"/>
  <c r="AY96" i="103"/>
  <c r="AP96" i="103"/>
  <c r="AE101" i="103"/>
  <c r="AQ101" i="103" s="1"/>
  <c r="AE105" i="103"/>
  <c r="AY109" i="103"/>
  <c r="AP109" i="103"/>
  <c r="AP21" i="103"/>
  <c r="AY39" i="103"/>
  <c r="AP39" i="103"/>
  <c r="AE16" i="103"/>
  <c r="AE44" i="103"/>
  <c r="AE13" i="103"/>
  <c r="AY13" i="103"/>
  <c r="AO21" i="103"/>
  <c r="AL21" i="103" s="1"/>
  <c r="AE30" i="103"/>
  <c r="AE34" i="103"/>
  <c r="AQ34" i="103" s="1"/>
  <c r="AO35" i="103"/>
  <c r="AR35" i="103" s="1"/>
  <c r="AP35" i="103"/>
  <c r="AE38" i="103"/>
  <c r="AP45" i="103"/>
  <c r="AO47" i="103"/>
  <c r="AX47" i="103" s="1"/>
  <c r="AP47" i="103"/>
  <c r="AE50" i="103"/>
  <c r="BB51" i="103"/>
  <c r="AP51" i="103"/>
  <c r="AE55" i="103"/>
  <c r="AX56" i="103"/>
  <c r="AT56" i="103"/>
  <c r="AE58" i="103"/>
  <c r="AO65" i="103"/>
  <c r="AP65" i="103"/>
  <c r="AO68" i="103"/>
  <c r="AX68" i="103" s="1"/>
  <c r="AP68" i="103"/>
  <c r="AE73" i="103"/>
  <c r="AE80" i="103"/>
  <c r="AY80" i="103"/>
  <c r="AE84" i="103"/>
  <c r="BB87" i="103"/>
  <c r="AP87" i="103"/>
  <c r="AY90" i="103"/>
  <c r="AE96" i="103"/>
  <c r="BB101" i="103"/>
  <c r="AP106" i="103"/>
  <c r="AE109" i="103"/>
  <c r="AP110" i="103"/>
  <c r="AO93" i="103"/>
  <c r="AR93" i="103" s="1"/>
  <c r="AP93" i="103"/>
  <c r="AY14" i="103"/>
  <c r="AP14" i="103"/>
  <c r="AE23" i="103"/>
  <c r="P27" i="103"/>
  <c r="AD27" i="103" s="1"/>
  <c r="AE28" i="103"/>
  <c r="AY36" i="103"/>
  <c r="AP36" i="103"/>
  <c r="AE39" i="103"/>
  <c r="AE41" i="103"/>
  <c r="AY41" i="103"/>
  <c r="AE48" i="103"/>
  <c r="AQ48" i="103" s="1"/>
  <c r="AO54" i="103"/>
  <c r="AL54" i="103" s="1"/>
  <c r="P62" i="103"/>
  <c r="AC62" i="103" s="1"/>
  <c r="AE69" i="103"/>
  <c r="AY70" i="103"/>
  <c r="AP70" i="103"/>
  <c r="AE75" i="103"/>
  <c r="P78" i="103"/>
  <c r="AP78" i="103"/>
  <c r="AE81" i="103"/>
  <c r="AQ81" i="103" s="1"/>
  <c r="BB84" i="103"/>
  <c r="AO85" i="103"/>
  <c r="AX85" i="103" s="1"/>
  <c r="AP85" i="103"/>
  <c r="AY87" i="103"/>
  <c r="P90" i="103"/>
  <c r="AC90" i="103" s="1"/>
  <c r="BB90" i="103"/>
  <c r="AE93" i="103"/>
  <c r="BB96" i="103"/>
  <c r="AP100" i="103"/>
  <c r="AE102" i="103"/>
  <c r="AO103" i="103"/>
  <c r="AX103" i="103" s="1"/>
  <c r="AP103" i="103"/>
  <c r="AY106" i="103"/>
  <c r="AP111" i="103"/>
  <c r="AX46" i="103"/>
  <c r="AT46" i="103"/>
  <c r="AE14" i="103"/>
  <c r="AE24" i="103"/>
  <c r="AY28" i="103"/>
  <c r="AE31" i="103"/>
  <c r="AE36" i="103"/>
  <c r="AY48" i="103"/>
  <c r="AE52" i="103"/>
  <c r="AE56" i="103"/>
  <c r="AQ56" i="103" s="1"/>
  <c r="AE59" i="103"/>
  <c r="BB62" i="103"/>
  <c r="AE70" i="103"/>
  <c r="BB71" i="103"/>
  <c r="AP71" i="103"/>
  <c r="AE78" i="103"/>
  <c r="AQ78" i="103" s="1"/>
  <c r="P84" i="103"/>
  <c r="AD84" i="103" s="1"/>
  <c r="AE85" i="103"/>
  <c r="AQ85" i="103" s="1"/>
  <c r="AY88" i="103"/>
  <c r="AP88" i="103"/>
  <c r="AP94" i="103"/>
  <c r="AE100" i="103"/>
  <c r="AQ100" i="103" s="1"/>
  <c r="AE103" i="103"/>
  <c r="AQ103" i="103" s="1"/>
  <c r="AE111" i="103"/>
  <c r="AY112" i="103"/>
  <c r="AP112" i="103"/>
  <c r="AP81" i="103"/>
  <c r="AC87" i="103"/>
  <c r="AE87" i="103"/>
  <c r="AX29" i="103"/>
  <c r="AO15" i="103"/>
  <c r="AQ15" i="103" s="1"/>
  <c r="AP15" i="103"/>
  <c r="AY21" i="103"/>
  <c r="AE25" i="103"/>
  <c r="AE32" i="103"/>
  <c r="AE40" i="103"/>
  <c r="AQ40" i="103" s="1"/>
  <c r="AE42" i="103"/>
  <c r="P45" i="103"/>
  <c r="AC45" i="103" s="1"/>
  <c r="AE53" i="103"/>
  <c r="AY60" i="103"/>
  <c r="AP60" i="103"/>
  <c r="AP63" i="103"/>
  <c r="AE66" i="103"/>
  <c r="AE71" i="103"/>
  <c r="AY72" i="103"/>
  <c r="AP72" i="103"/>
  <c r="AE76" i="103"/>
  <c r="AO77" i="103"/>
  <c r="AR77" i="103" s="1"/>
  <c r="AY81" i="103"/>
  <c r="AE88" i="103"/>
  <c r="AQ88" i="103" s="1"/>
  <c r="AE91" i="103"/>
  <c r="AY92" i="103"/>
  <c r="AP92" i="103"/>
  <c r="AE94" i="103"/>
  <c r="AE97" i="103"/>
  <c r="P98" i="103"/>
  <c r="AD98" i="103" s="1"/>
  <c r="AP98" i="103"/>
  <c r="AY104" i="103"/>
  <c r="AP104" i="103"/>
  <c r="AO105" i="103"/>
  <c r="AX105" i="103" s="1"/>
  <c r="AE107" i="103"/>
  <c r="AE112" i="103"/>
  <c r="AP113" i="103"/>
  <c r="BB75" i="103"/>
  <c r="AP75" i="103"/>
  <c r="BB102" i="103"/>
  <c r="AP102" i="103"/>
  <c r="AO18" i="103"/>
  <c r="AL18" i="103" s="1"/>
  <c r="AP18" i="103"/>
  <c r="AY19" i="103"/>
  <c r="AP19" i="103"/>
  <c r="P21" i="103"/>
  <c r="AY22" i="103"/>
  <c r="AP22" i="103"/>
  <c r="BB26" i="103"/>
  <c r="AP26" i="103"/>
  <c r="AP29" i="103"/>
  <c r="AE33" i="103"/>
  <c r="AY40" i="103"/>
  <c r="AY44" i="103"/>
  <c r="AP44" i="103"/>
  <c r="BB48" i="103"/>
  <c r="AO55" i="103"/>
  <c r="AL55" i="103" s="1"/>
  <c r="AO57" i="103"/>
  <c r="AQ57" i="103" s="1"/>
  <c r="AP57" i="103"/>
  <c r="BB61" i="103"/>
  <c r="AP61" i="103"/>
  <c r="AO62" i="103"/>
  <c r="AR62" i="103" s="1"/>
  <c r="AP67" i="103"/>
  <c r="BB76" i="103"/>
  <c r="P81" i="103"/>
  <c r="AD81" i="103" s="1"/>
  <c r="AE92" i="103"/>
  <c r="BB95" i="103"/>
  <c r="AP95" i="103"/>
  <c r="AO96" i="103"/>
  <c r="AL96" i="103" s="1"/>
  <c r="AY66" i="103"/>
  <c r="AO71" i="103"/>
  <c r="AR71" i="103" s="1"/>
  <c r="AO80" i="103"/>
  <c r="BB80" i="103"/>
  <c r="AX81" i="103"/>
  <c r="AL40" i="103"/>
  <c r="AY45" i="103"/>
  <c r="AL48" i="103"/>
  <c r="AD78" i="103"/>
  <c r="AY89" i="103"/>
  <c r="AO98" i="103"/>
  <c r="AR98" i="103" s="1"/>
  <c r="P105" i="103"/>
  <c r="AC105" i="103" s="1"/>
  <c r="AY105" i="103"/>
  <c r="BB70" i="103"/>
  <c r="AO73" i="103"/>
  <c r="AO112" i="103"/>
  <c r="AX112" i="103" s="1"/>
  <c r="AY32" i="103"/>
  <c r="AY20" i="103"/>
  <c r="BB34" i="103"/>
  <c r="AO37" i="103"/>
  <c r="AL37" i="103" s="1"/>
  <c r="AJ10" i="103"/>
  <c r="AK51" i="105" s="1"/>
  <c r="AK147" i="105" s="1"/>
  <c r="AY16" i="103"/>
  <c r="BB18" i="103"/>
  <c r="BB22" i="103"/>
  <c r="AY24" i="103"/>
  <c r="AY58" i="103"/>
  <c r="BB66" i="103"/>
  <c r="AO67" i="103"/>
  <c r="AY85" i="103"/>
  <c r="BB86" i="103"/>
  <c r="P89" i="103"/>
  <c r="AC89" i="103" s="1"/>
  <c r="P93" i="103"/>
  <c r="AD93" i="103" s="1"/>
  <c r="AO95" i="103"/>
  <c r="AX95" i="103" s="1"/>
  <c r="AO106" i="103"/>
  <c r="AQ106" i="103" s="1"/>
  <c r="BB106" i="103"/>
  <c r="P113" i="103"/>
  <c r="AC113" i="103" s="1"/>
  <c r="AY113" i="103"/>
  <c r="AK5" i="103"/>
  <c r="BK13" i="103" s="1"/>
  <c r="AO38" i="103"/>
  <c r="AO70" i="103"/>
  <c r="P38" i="103"/>
  <c r="AD38" i="103" s="1"/>
  <c r="AO45" i="103"/>
  <c r="AR45" i="103" s="1"/>
  <c r="AX48" i="103"/>
  <c r="P63" i="103"/>
  <c r="AC63" i="103" s="1"/>
  <c r="P70" i="103"/>
  <c r="AC70" i="103" s="1"/>
  <c r="P72" i="103"/>
  <c r="AC72" i="103" s="1"/>
  <c r="P73" i="103"/>
  <c r="AD73" i="103" s="1"/>
  <c r="P75" i="103"/>
  <c r="AC75" i="103" s="1"/>
  <c r="P103" i="103"/>
  <c r="AC103" i="103" s="1"/>
  <c r="P104" i="103"/>
  <c r="AC104" i="103" s="1"/>
  <c r="P112" i="103"/>
  <c r="AD112" i="103" s="1"/>
  <c r="AX40" i="103"/>
  <c r="P14" i="103"/>
  <c r="AD14" i="103" s="1"/>
  <c r="AO32" i="103"/>
  <c r="AR48" i="103"/>
  <c r="AY54" i="103"/>
  <c r="P55" i="103"/>
  <c r="AD55" i="103" s="1"/>
  <c r="BB58" i="103"/>
  <c r="AY63" i="103"/>
  <c r="P71" i="103"/>
  <c r="AY73" i="103"/>
  <c r="P80" i="103"/>
  <c r="AC80" i="103" s="1"/>
  <c r="P88" i="103"/>
  <c r="AC88" i="103" s="1"/>
  <c r="BB93" i="103"/>
  <c r="AO94" i="103"/>
  <c r="AR94" i="103" s="1"/>
  <c r="AY103" i="103"/>
  <c r="BB104" i="103"/>
  <c r="BB20" i="103"/>
  <c r="P29" i="103"/>
  <c r="AC29" i="103" s="1"/>
  <c r="AY29" i="103"/>
  <c r="BB32" i="103"/>
  <c r="AQ46" i="103"/>
  <c r="AY15" i="103"/>
  <c r="AY23" i="103"/>
  <c r="AO30" i="103"/>
  <c r="BB30" i="103"/>
  <c r="AR40" i="103"/>
  <c r="AG10" i="103"/>
  <c r="AK38" i="105" s="1"/>
  <c r="AK144" i="105" s="1"/>
  <c r="AO16" i="103"/>
  <c r="BB16" i="103"/>
  <c r="AO20" i="103"/>
  <c r="AO24" i="103"/>
  <c r="BB24" i="103"/>
  <c r="BB28" i="103"/>
  <c r="P47" i="103"/>
  <c r="AD47" i="103" s="1"/>
  <c r="AY49" i="103"/>
  <c r="AY55" i="103"/>
  <c r="P65" i="103"/>
  <c r="AD65" i="103" s="1"/>
  <c r="P68" i="103"/>
  <c r="AD68" i="103" s="1"/>
  <c r="AY71" i="103"/>
  <c r="AY76" i="103"/>
  <c r="AY77" i="103"/>
  <c r="AX78" i="103"/>
  <c r="P85" i="103"/>
  <c r="BB85" i="103"/>
  <c r="AO87" i="103"/>
  <c r="AX87" i="103" s="1"/>
  <c r="BB88" i="103"/>
  <c r="AO89" i="103"/>
  <c r="AL89" i="103" s="1"/>
  <c r="P96" i="103"/>
  <c r="AC96" i="103" s="1"/>
  <c r="P99" i="103"/>
  <c r="AD99" i="103" s="1"/>
  <c r="BB110" i="103"/>
  <c r="BB112" i="103"/>
  <c r="AO113" i="103"/>
  <c r="AQ113" i="103" s="1"/>
  <c r="AY43" i="103"/>
  <c r="P43" i="103"/>
  <c r="AD43" i="103" s="1"/>
  <c r="AO43" i="103"/>
  <c r="BB43" i="103"/>
  <c r="AO13" i="103"/>
  <c r="BB14" i="103"/>
  <c r="P15" i="103"/>
  <c r="AC15" i="103" s="1"/>
  <c r="BB15" i="103"/>
  <c r="AH10" i="103"/>
  <c r="AK42" i="105" s="1"/>
  <c r="AY17" i="103"/>
  <c r="P17" i="103"/>
  <c r="AO17" i="103"/>
  <c r="BB17" i="103"/>
  <c r="AY18" i="103"/>
  <c r="P18" i="103"/>
  <c r="AD18" i="103" s="1"/>
  <c r="AY26" i="103"/>
  <c r="P26" i="103"/>
  <c r="AC26" i="103" s="1"/>
  <c r="AO26" i="103"/>
  <c r="BB13" i="103"/>
  <c r="AD19" i="103"/>
  <c r="AC19" i="103"/>
  <c r="AY25" i="103"/>
  <c r="P25" i="103"/>
  <c r="AO25" i="103"/>
  <c r="BB25" i="103"/>
  <c r="AO53" i="103"/>
  <c r="AY53" i="103"/>
  <c r="P53" i="103"/>
  <c r="AC53" i="103" s="1"/>
  <c r="BB53" i="103"/>
  <c r="AO19" i="103"/>
  <c r="P20" i="103"/>
  <c r="AO27" i="103"/>
  <c r="P28" i="103"/>
  <c r="AD28" i="103" s="1"/>
  <c r="AO33" i="103"/>
  <c r="BB33" i="103"/>
  <c r="AY34" i="103"/>
  <c r="P34" i="103"/>
  <c r="AD34" i="103" s="1"/>
  <c r="AO39" i="103"/>
  <c r="BB39" i="103"/>
  <c r="AY42" i="103"/>
  <c r="P42" i="103"/>
  <c r="AD42" i="103" s="1"/>
  <c r="AO42" i="103"/>
  <c r="BB42" i="103"/>
  <c r="AD46" i="103"/>
  <c r="AO31" i="103"/>
  <c r="BB31" i="103"/>
  <c r="AR34" i="103"/>
  <c r="BB35" i="103"/>
  <c r="BB23" i="103"/>
  <c r="P35" i="103"/>
  <c r="AD35" i="103" s="1"/>
  <c r="BB37" i="103"/>
  <c r="AY50" i="103"/>
  <c r="P50" i="103"/>
  <c r="AD50" i="103" s="1"/>
  <c r="AO50" i="103"/>
  <c r="BB50" i="103"/>
  <c r="AY52" i="103"/>
  <c r="BB52" i="103"/>
  <c r="P52" i="103"/>
  <c r="AC52" i="103" s="1"/>
  <c r="AO52" i="103"/>
  <c r="P69" i="103"/>
  <c r="AD69" i="103" s="1"/>
  <c r="AO69" i="103"/>
  <c r="BB69" i="103"/>
  <c r="AY69" i="103"/>
  <c r="P16" i="103"/>
  <c r="AC16" i="103" s="1"/>
  <c r="BB21" i="103"/>
  <c r="AO23" i="103"/>
  <c r="P24" i="103"/>
  <c r="BB29" i="103"/>
  <c r="AY31" i="103"/>
  <c r="AY37" i="103"/>
  <c r="P39" i="103"/>
  <c r="P23" i="103"/>
  <c r="AC23" i="103" s="1"/>
  <c r="P31" i="103"/>
  <c r="AC31" i="103" s="1"/>
  <c r="AR37" i="103"/>
  <c r="P41" i="103"/>
  <c r="AO41" i="103"/>
  <c r="BB41" i="103"/>
  <c r="AL47" i="103"/>
  <c r="AR47" i="103"/>
  <c r="AY47" i="103"/>
  <c r="AO51" i="103"/>
  <c r="BB59" i="103"/>
  <c r="P59" i="103"/>
  <c r="AY59" i="103"/>
  <c r="AO60" i="103"/>
  <c r="AY64" i="103"/>
  <c r="P64" i="103"/>
  <c r="BB64" i="103"/>
  <c r="P36" i="103"/>
  <c r="AC36" i="103" s="1"/>
  <c r="P44" i="103"/>
  <c r="AD44" i="103" s="1"/>
  <c r="AC46" i="103"/>
  <c r="AR46" i="103"/>
  <c r="BB49" i="103"/>
  <c r="AY56" i="103"/>
  <c r="BB56" i="103"/>
  <c r="AO59" i="103"/>
  <c r="AD62" i="103"/>
  <c r="AR56" i="103"/>
  <c r="AL56" i="103"/>
  <c r="P60" i="103"/>
  <c r="AC60" i="103" s="1"/>
  <c r="BB60" i="103"/>
  <c r="BB47" i="103"/>
  <c r="AO49" i="103"/>
  <c r="AY57" i="103"/>
  <c r="BB74" i="103"/>
  <c r="AY74" i="103"/>
  <c r="P74" i="103"/>
  <c r="AO74" i="103"/>
  <c r="AL46" i="103"/>
  <c r="P49" i="103"/>
  <c r="P57" i="103"/>
  <c r="AC57" i="103" s="1"/>
  <c r="BB82" i="103"/>
  <c r="AY82" i="103"/>
  <c r="P82" i="103"/>
  <c r="AO82" i="103"/>
  <c r="P32" i="103"/>
  <c r="P40" i="103"/>
  <c r="AD40" i="103" s="1"/>
  <c r="BB45" i="103"/>
  <c r="P48" i="103"/>
  <c r="AC48" i="103" s="1"/>
  <c r="P56" i="103"/>
  <c r="BB57" i="103"/>
  <c r="P51" i="103"/>
  <c r="AD51" i="103" s="1"/>
  <c r="P61" i="103"/>
  <c r="AC61" i="103" s="1"/>
  <c r="AO61" i="103"/>
  <c r="AY61" i="103"/>
  <c r="AY79" i="103"/>
  <c r="AO79" i="103"/>
  <c r="P79" i="103"/>
  <c r="AD79" i="103" s="1"/>
  <c r="BB79" i="103"/>
  <c r="BB83" i="103"/>
  <c r="P83" i="103"/>
  <c r="AD83" i="103" s="1"/>
  <c r="AO83" i="103"/>
  <c r="AO58" i="103"/>
  <c r="AO66" i="103"/>
  <c r="P67" i="103"/>
  <c r="AO75" i="103"/>
  <c r="AY75" i="103"/>
  <c r="AR81" i="103"/>
  <c r="AQ104" i="103"/>
  <c r="BB55" i="103"/>
  <c r="P58" i="103"/>
  <c r="BB63" i="103"/>
  <c r="P66" i="103"/>
  <c r="AY68" i="103"/>
  <c r="AL77" i="103"/>
  <c r="AR88" i="103"/>
  <c r="AX88" i="103"/>
  <c r="AL88" i="103"/>
  <c r="AR86" i="103"/>
  <c r="AL86" i="103"/>
  <c r="BB68" i="103"/>
  <c r="AO91" i="103"/>
  <c r="BB91" i="103"/>
  <c r="P91" i="103"/>
  <c r="AY91" i="103"/>
  <c r="AQ105" i="103"/>
  <c r="AY111" i="103"/>
  <c r="P111" i="103"/>
  <c r="AD111" i="103" s="1"/>
  <c r="BB111" i="103"/>
  <c r="AO111" i="103"/>
  <c r="P54" i="103"/>
  <c r="AC54" i="103" s="1"/>
  <c r="BB67" i="103"/>
  <c r="AY78" i="103"/>
  <c r="BB78" i="103"/>
  <c r="AC78" i="103"/>
  <c r="AR78" i="103"/>
  <c r="AL78" i="103"/>
  <c r="AL81" i="103"/>
  <c r="AX104" i="103"/>
  <c r="AL104" i="103"/>
  <c r="AL105" i="103"/>
  <c r="AR105" i="103"/>
  <c r="AY93" i="103"/>
  <c r="P100" i="103"/>
  <c r="AC100" i="103" s="1"/>
  <c r="AL100" i="103"/>
  <c r="BB77" i="103"/>
  <c r="AO84" i="103"/>
  <c r="P86" i="103"/>
  <c r="AC86" i="103" s="1"/>
  <c r="AY94" i="103"/>
  <c r="P94" i="103"/>
  <c r="AD94" i="103" s="1"/>
  <c r="AX100" i="103"/>
  <c r="BB97" i="103"/>
  <c r="AO107" i="103"/>
  <c r="BB107" i="103"/>
  <c r="AY110" i="103"/>
  <c r="P110" i="103"/>
  <c r="AD110" i="103" s="1"/>
  <c r="AR96" i="103"/>
  <c r="AO97" i="103"/>
  <c r="P108" i="103"/>
  <c r="AD108" i="103" s="1"/>
  <c r="AO108" i="103"/>
  <c r="P109" i="103"/>
  <c r="AD109" i="103" s="1"/>
  <c r="AO109" i="103"/>
  <c r="AO76" i="103"/>
  <c r="P77" i="103"/>
  <c r="AY84" i="103"/>
  <c r="AY86" i="103"/>
  <c r="P92" i="103"/>
  <c r="BB94" i="103"/>
  <c r="P95" i="103"/>
  <c r="AD95" i="103" s="1"/>
  <c r="AR100" i="103"/>
  <c r="AY101" i="103"/>
  <c r="AY108" i="103"/>
  <c r="BB73" i="103"/>
  <c r="P76" i="103"/>
  <c r="AC76" i="103" s="1"/>
  <c r="BB81" i="103"/>
  <c r="AD87" i="103"/>
  <c r="AY102" i="103"/>
  <c r="P102" i="103"/>
  <c r="AD102" i="103" s="1"/>
  <c r="AY107" i="103"/>
  <c r="BB109" i="103"/>
  <c r="BB89" i="103"/>
  <c r="P97" i="103"/>
  <c r="AC97" i="103" s="1"/>
  <c r="AY97" i="103"/>
  <c r="AO99" i="103"/>
  <c r="BB99" i="103"/>
  <c r="BB100" i="103"/>
  <c r="P101" i="103"/>
  <c r="AD101" i="103" s="1"/>
  <c r="AO102" i="103"/>
  <c r="BB105" i="103"/>
  <c r="P107" i="103"/>
  <c r="BB113" i="103"/>
  <c r="AR29" i="103" l="1"/>
  <c r="AQ77" i="103"/>
  <c r="AC112" i="103"/>
  <c r="AQ32" i="103"/>
  <c r="AX71" i="103"/>
  <c r="AL71" i="103"/>
  <c r="AL22" i="103"/>
  <c r="AR101" i="103"/>
  <c r="AC84" i="103"/>
  <c r="AC98" i="103"/>
  <c r="AL63" i="103"/>
  <c r="AC27" i="103"/>
  <c r="AQ92" i="103"/>
  <c r="AD106" i="103"/>
  <c r="AQ54" i="103"/>
  <c r="AL28" i="103"/>
  <c r="AQ36" i="103"/>
  <c r="AQ62" i="103"/>
  <c r="AQ71" i="103"/>
  <c r="AR63" i="103"/>
  <c r="AL29" i="103"/>
  <c r="AR22" i="103"/>
  <c r="AQ67" i="103"/>
  <c r="AD75" i="103"/>
  <c r="AQ16" i="103"/>
  <c r="AC22" i="103"/>
  <c r="AQ43" i="103"/>
  <c r="AC33" i="103"/>
  <c r="AQ112" i="103"/>
  <c r="AQ96" i="103"/>
  <c r="AX62" i="103"/>
  <c r="AQ65" i="103"/>
  <c r="AZ78" i="103"/>
  <c r="AQ80" i="103"/>
  <c r="AQ83" i="103"/>
  <c r="AD104" i="103"/>
  <c r="AL85" i="103"/>
  <c r="AQ22" i="103"/>
  <c r="AQ72" i="103"/>
  <c r="AD37" i="103"/>
  <c r="AQ98" i="103"/>
  <c r="AL45" i="103"/>
  <c r="AR113" i="103"/>
  <c r="AL113" i="103"/>
  <c r="AX80" i="103"/>
  <c r="AC68" i="103"/>
  <c r="AL94" i="103"/>
  <c r="AR21" i="103"/>
  <c r="AD52" i="103"/>
  <c r="AX110" i="103"/>
  <c r="AR32" i="103"/>
  <c r="AD30" i="103"/>
  <c r="AR103" i="103"/>
  <c r="AQ45" i="103"/>
  <c r="AL110" i="103"/>
  <c r="AC38" i="103"/>
  <c r="AL103" i="103"/>
  <c r="AL34" i="103"/>
  <c r="AX36" i="103"/>
  <c r="AQ17" i="103"/>
  <c r="AX92" i="103"/>
  <c r="AD80" i="103"/>
  <c r="AL72" i="103"/>
  <c r="AQ110" i="103"/>
  <c r="AL92" i="103"/>
  <c r="AR106" i="103"/>
  <c r="AC47" i="103"/>
  <c r="AC99" i="103"/>
  <c r="AR92" i="103"/>
  <c r="AX72" i="103"/>
  <c r="AR89" i="103"/>
  <c r="AX89" i="103"/>
  <c r="AD72" i="103"/>
  <c r="AL90" i="103"/>
  <c r="AQ70" i="103"/>
  <c r="AQ47" i="103"/>
  <c r="AR57" i="103"/>
  <c r="AX90" i="103"/>
  <c r="AC93" i="103"/>
  <c r="AQ37" i="103"/>
  <c r="AD70" i="103"/>
  <c r="AD45" i="103"/>
  <c r="AR112" i="103"/>
  <c r="AD89" i="103"/>
  <c r="AQ53" i="103"/>
  <c r="AD29" i="103"/>
  <c r="AL15" i="103"/>
  <c r="AL93" i="103"/>
  <c r="AX44" i="103"/>
  <c r="AD90" i="103"/>
  <c r="AL67" i="103"/>
  <c r="AR44" i="103"/>
  <c r="AR36" i="103"/>
  <c r="AQ44" i="103"/>
  <c r="AL14" i="103"/>
  <c r="AC81" i="103"/>
  <c r="AQ14" i="103"/>
  <c r="AD103" i="103"/>
  <c r="AX65" i="103"/>
  <c r="AQ93" i="103"/>
  <c r="AL57" i="103"/>
  <c r="AL35" i="103"/>
  <c r="AQ35" i="103"/>
  <c r="AT72" i="103"/>
  <c r="AD113" i="103"/>
  <c r="AR65" i="103"/>
  <c r="AX57" i="103"/>
  <c r="AX35" i="103"/>
  <c r="AL36" i="103"/>
  <c r="AR18" i="103"/>
  <c r="AT110" i="103"/>
  <c r="AX14" i="103"/>
  <c r="AR14" i="103"/>
  <c r="BP13" i="103"/>
  <c r="AQ28" i="103"/>
  <c r="AT63" i="103"/>
  <c r="AT22" i="103"/>
  <c r="AQ63" i="103"/>
  <c r="O10" i="103"/>
  <c r="BE38" i="105" s="1"/>
  <c r="AT66" i="103"/>
  <c r="AZ66" i="103"/>
  <c r="BC66" i="103"/>
  <c r="BE66" i="103" s="1"/>
  <c r="AT52" i="103"/>
  <c r="AZ52" i="103"/>
  <c r="BC52" i="103"/>
  <c r="BE52" i="103" s="1"/>
  <c r="AT27" i="103"/>
  <c r="AZ27" i="103"/>
  <c r="BC27" i="103"/>
  <c r="BE27" i="103" s="1"/>
  <c r="AT53" i="103"/>
  <c r="AZ53" i="103"/>
  <c r="BC53" i="103"/>
  <c r="BE53" i="103" s="1"/>
  <c r="AT70" i="103"/>
  <c r="BC70" i="103"/>
  <c r="BE70" i="103" s="1"/>
  <c r="AZ70" i="103"/>
  <c r="AT80" i="103"/>
  <c r="BC80" i="103"/>
  <c r="BE80" i="103" s="1"/>
  <c r="AZ80" i="103"/>
  <c r="BC55" i="103"/>
  <c r="BE55" i="103" s="1"/>
  <c r="AZ55" i="103"/>
  <c r="AT18" i="103"/>
  <c r="AZ18" i="103"/>
  <c r="BC18" i="103"/>
  <c r="BE18" i="103" s="1"/>
  <c r="BC48" i="103"/>
  <c r="BE48" i="103" s="1"/>
  <c r="AZ48" i="103"/>
  <c r="AQ89" i="103"/>
  <c r="AT64" i="103"/>
  <c r="BC64" i="103"/>
  <c r="BE64" i="103" s="1"/>
  <c r="AZ64" i="103"/>
  <c r="AZ14" i="103"/>
  <c r="BC14" i="103"/>
  <c r="BE14" i="103" s="1"/>
  <c r="AT111" i="103"/>
  <c r="BC111" i="103"/>
  <c r="BE111" i="103" s="1"/>
  <c r="AZ111" i="103"/>
  <c r="AZ91" i="103"/>
  <c r="BC91" i="103"/>
  <c r="BE91" i="103" s="1"/>
  <c r="AC79" i="103"/>
  <c r="AT58" i="103"/>
  <c r="AZ58" i="103"/>
  <c r="BC58" i="103"/>
  <c r="BE58" i="103" s="1"/>
  <c r="AT79" i="103"/>
  <c r="BC79" i="103"/>
  <c r="BE79" i="103" s="1"/>
  <c r="AZ79" i="103"/>
  <c r="BC31" i="103"/>
  <c r="BE31" i="103" s="1"/>
  <c r="AZ31" i="103"/>
  <c r="BC39" i="103"/>
  <c r="BE39" i="103" s="1"/>
  <c r="AZ39" i="103"/>
  <c r="AT43" i="103"/>
  <c r="AZ43" i="103"/>
  <c r="BC43" i="103"/>
  <c r="BE43" i="103" s="1"/>
  <c r="AT38" i="103"/>
  <c r="BC38" i="103"/>
  <c r="BE38" i="103" s="1"/>
  <c r="AZ38" i="103"/>
  <c r="AT112" i="103"/>
  <c r="BC112" i="103"/>
  <c r="BE112" i="103" s="1"/>
  <c r="AZ112" i="103"/>
  <c r="AT105" i="103"/>
  <c r="BC105" i="103"/>
  <c r="BE105" i="103" s="1"/>
  <c r="AZ105" i="103"/>
  <c r="BG78" i="103"/>
  <c r="AZ92" i="103"/>
  <c r="BC92" i="103"/>
  <c r="BE92" i="103" s="1"/>
  <c r="AZ110" i="103"/>
  <c r="BC110" i="103"/>
  <c r="BE110" i="103" s="1"/>
  <c r="BC72" i="103"/>
  <c r="BE72" i="103" s="1"/>
  <c r="AZ72" i="103"/>
  <c r="AT109" i="103"/>
  <c r="BC109" i="103"/>
  <c r="BE109" i="103" s="1"/>
  <c r="AZ109" i="103"/>
  <c r="AT102" i="103"/>
  <c r="AZ102" i="103"/>
  <c r="BC102" i="103"/>
  <c r="BE102" i="103" s="1"/>
  <c r="AT107" i="103"/>
  <c r="AZ107" i="103"/>
  <c r="BC107" i="103"/>
  <c r="BE107" i="103" s="1"/>
  <c r="AT32" i="103"/>
  <c r="BC32" i="103"/>
  <c r="BE32" i="103" s="1"/>
  <c r="AZ32" i="103"/>
  <c r="AZ73" i="103"/>
  <c r="BC73" i="103"/>
  <c r="BE73" i="103" s="1"/>
  <c r="BC71" i="103"/>
  <c r="BE71" i="103" s="1"/>
  <c r="AZ71" i="103"/>
  <c r="AT103" i="103"/>
  <c r="BC103" i="103"/>
  <c r="BE103" i="103" s="1"/>
  <c r="AZ103" i="103"/>
  <c r="AT68" i="103"/>
  <c r="AZ68" i="103"/>
  <c r="BC68" i="103"/>
  <c r="BE68" i="103" s="1"/>
  <c r="AT35" i="103"/>
  <c r="AZ35" i="103"/>
  <c r="BC35" i="103"/>
  <c r="BE35" i="103" s="1"/>
  <c r="AZ28" i="103"/>
  <c r="BC28" i="103"/>
  <c r="BE28" i="103" s="1"/>
  <c r="BC86" i="103"/>
  <c r="BE86" i="103" s="1"/>
  <c r="AZ86" i="103"/>
  <c r="AT44" i="103"/>
  <c r="AZ44" i="103"/>
  <c r="BC44" i="103"/>
  <c r="BE44" i="103" s="1"/>
  <c r="AZ36" i="103"/>
  <c r="BC36" i="103"/>
  <c r="BE36" i="103" s="1"/>
  <c r="AT97" i="103"/>
  <c r="BC97" i="103"/>
  <c r="BE97" i="103" s="1"/>
  <c r="AZ97" i="103"/>
  <c r="AT61" i="103"/>
  <c r="AZ61" i="103"/>
  <c r="BC61" i="103"/>
  <c r="BE61" i="103" s="1"/>
  <c r="AT59" i="103"/>
  <c r="AZ59" i="103"/>
  <c r="BC59" i="103"/>
  <c r="BE59" i="103" s="1"/>
  <c r="AT41" i="103"/>
  <c r="BC41" i="103"/>
  <c r="BE41" i="103" s="1"/>
  <c r="AZ41" i="103"/>
  <c r="AT23" i="103"/>
  <c r="BC23" i="103"/>
  <c r="BE23" i="103" s="1"/>
  <c r="AZ23" i="103"/>
  <c r="AT17" i="103"/>
  <c r="AZ17" i="103"/>
  <c r="BC17" i="103"/>
  <c r="BE17" i="103" s="1"/>
  <c r="AT89" i="103"/>
  <c r="BC89" i="103"/>
  <c r="BE89" i="103" s="1"/>
  <c r="AZ89" i="103"/>
  <c r="AT30" i="103"/>
  <c r="AZ30" i="103"/>
  <c r="BC30" i="103"/>
  <c r="BE30" i="103" s="1"/>
  <c r="BC96" i="103"/>
  <c r="BE96" i="103" s="1"/>
  <c r="AZ96" i="103"/>
  <c r="AZ62" i="103"/>
  <c r="BC62" i="103"/>
  <c r="BE62" i="103" s="1"/>
  <c r="AZ85" i="103"/>
  <c r="BC85" i="103"/>
  <c r="BE85" i="103" s="1"/>
  <c r="AZ22" i="103"/>
  <c r="BC22" i="103"/>
  <c r="BE22" i="103" s="1"/>
  <c r="AT76" i="103"/>
  <c r="AZ76" i="103"/>
  <c r="BC76" i="103"/>
  <c r="BE76" i="103" s="1"/>
  <c r="AT84" i="103"/>
  <c r="AZ84" i="103"/>
  <c r="BC84" i="103"/>
  <c r="BE84" i="103" s="1"/>
  <c r="AT83" i="103"/>
  <c r="AZ83" i="103"/>
  <c r="BC83" i="103"/>
  <c r="BE83" i="103" s="1"/>
  <c r="AT82" i="103"/>
  <c r="AZ82" i="103"/>
  <c r="BC82" i="103"/>
  <c r="BE82" i="103" s="1"/>
  <c r="AT19" i="103"/>
  <c r="AZ19" i="103"/>
  <c r="BC19" i="103"/>
  <c r="BE19" i="103" s="1"/>
  <c r="AD26" i="103"/>
  <c r="AT24" i="103"/>
  <c r="BC24" i="103"/>
  <c r="BE24" i="103" s="1"/>
  <c r="AZ24" i="103"/>
  <c r="AT67" i="103"/>
  <c r="AZ67" i="103"/>
  <c r="BC67" i="103"/>
  <c r="BE67" i="103" s="1"/>
  <c r="AZ93" i="103"/>
  <c r="BC93" i="103"/>
  <c r="BE93" i="103" s="1"/>
  <c r="BC65" i="103"/>
  <c r="BE65" i="103" s="1"/>
  <c r="AZ65" i="103"/>
  <c r="BC101" i="103"/>
  <c r="BE101" i="103" s="1"/>
  <c r="AZ101" i="103"/>
  <c r="BC63" i="103"/>
  <c r="BE63" i="103" s="1"/>
  <c r="AZ63" i="103"/>
  <c r="BC29" i="103"/>
  <c r="BE29" i="103" s="1"/>
  <c r="AZ29" i="103"/>
  <c r="BG56" i="103"/>
  <c r="BG40" i="103"/>
  <c r="AT75" i="103"/>
  <c r="AZ75" i="103"/>
  <c r="BC75" i="103"/>
  <c r="BE75" i="103" s="1"/>
  <c r="AT51" i="103"/>
  <c r="AZ51" i="103"/>
  <c r="BC51" i="103"/>
  <c r="BE51" i="103" s="1"/>
  <c r="AT50" i="103"/>
  <c r="AZ50" i="103"/>
  <c r="BC50" i="103"/>
  <c r="BE50" i="103" s="1"/>
  <c r="AZ42" i="103"/>
  <c r="BC42" i="103"/>
  <c r="BE42" i="103" s="1"/>
  <c r="AT33" i="103"/>
  <c r="BC33" i="103"/>
  <c r="BE33" i="103" s="1"/>
  <c r="AZ33" i="103"/>
  <c r="AT26" i="103"/>
  <c r="AZ26" i="103"/>
  <c r="BC26" i="103"/>
  <c r="BE26" i="103" s="1"/>
  <c r="BC87" i="103"/>
  <c r="BE87" i="103" s="1"/>
  <c r="AZ87" i="103"/>
  <c r="AL20" i="103"/>
  <c r="AZ20" i="103"/>
  <c r="BC20" i="103"/>
  <c r="BE20" i="103" s="1"/>
  <c r="BC45" i="103"/>
  <c r="BE45" i="103" s="1"/>
  <c r="AZ45" i="103"/>
  <c r="AT37" i="103"/>
  <c r="AZ37" i="103"/>
  <c r="BC37" i="103"/>
  <c r="BE37" i="103" s="1"/>
  <c r="AZ77" i="103"/>
  <c r="BC77" i="103"/>
  <c r="BE77" i="103" s="1"/>
  <c r="AT47" i="103"/>
  <c r="BC47" i="103"/>
  <c r="BE47" i="103" s="1"/>
  <c r="AZ47" i="103"/>
  <c r="AZ21" i="103"/>
  <c r="BC21" i="103"/>
  <c r="BE21" i="103" s="1"/>
  <c r="AT104" i="103"/>
  <c r="BC104" i="103"/>
  <c r="BE104" i="103" s="1"/>
  <c r="AZ104" i="103"/>
  <c r="AT99" i="103"/>
  <c r="AZ99" i="103"/>
  <c r="BC99" i="103"/>
  <c r="BE99" i="103" s="1"/>
  <c r="AT60" i="103"/>
  <c r="AZ60" i="103"/>
  <c r="BC60" i="103"/>
  <c r="BE60" i="103" s="1"/>
  <c r="AT69" i="103"/>
  <c r="BC69" i="103"/>
  <c r="BE69" i="103" s="1"/>
  <c r="AZ69" i="103"/>
  <c r="AT25" i="103"/>
  <c r="BC25" i="103"/>
  <c r="BE25" i="103" s="1"/>
  <c r="AZ25" i="103"/>
  <c r="AZ113" i="103"/>
  <c r="BC113" i="103"/>
  <c r="BE113" i="103" s="1"/>
  <c r="BC94" i="103"/>
  <c r="BE94" i="103" s="1"/>
  <c r="AZ94" i="103"/>
  <c r="AT106" i="103"/>
  <c r="AZ106" i="103"/>
  <c r="BC106" i="103"/>
  <c r="BE106" i="103" s="1"/>
  <c r="AT98" i="103"/>
  <c r="AZ98" i="103"/>
  <c r="BC98" i="103"/>
  <c r="BE98" i="103" s="1"/>
  <c r="BC15" i="103"/>
  <c r="AZ15" i="103"/>
  <c r="AZ54" i="103"/>
  <c r="BC54" i="103"/>
  <c r="BE54" i="103" s="1"/>
  <c r="AT34" i="103"/>
  <c r="AZ34" i="103"/>
  <c r="BC34" i="103"/>
  <c r="BE34" i="103" s="1"/>
  <c r="AZ100" i="103"/>
  <c r="BC100" i="103"/>
  <c r="BE100" i="103" s="1"/>
  <c r="AT108" i="103"/>
  <c r="AZ108" i="103"/>
  <c r="BC108" i="103"/>
  <c r="BE108" i="103" s="1"/>
  <c r="AX94" i="103"/>
  <c r="AT74" i="103"/>
  <c r="AZ74" i="103"/>
  <c r="BC74" i="103"/>
  <c r="BE74" i="103" s="1"/>
  <c r="AT49" i="103"/>
  <c r="BC49" i="103"/>
  <c r="BE49" i="103" s="1"/>
  <c r="AZ49" i="103"/>
  <c r="AX15" i="103"/>
  <c r="AZ13" i="103"/>
  <c r="BC13" i="103"/>
  <c r="BG13" i="103" s="1"/>
  <c r="AT16" i="103"/>
  <c r="BC16" i="103"/>
  <c r="BE16" i="103" s="1"/>
  <c r="AZ16" i="103"/>
  <c r="AR95" i="103"/>
  <c r="BC95" i="103"/>
  <c r="BE95" i="103" s="1"/>
  <c r="AZ95" i="103"/>
  <c r="AT57" i="103"/>
  <c r="BC57" i="103"/>
  <c r="BE57" i="103" s="1"/>
  <c r="AZ57" i="103"/>
  <c r="AT90" i="103"/>
  <c r="AZ90" i="103"/>
  <c r="BC90" i="103"/>
  <c r="BE90" i="103" s="1"/>
  <c r="AZ81" i="103"/>
  <c r="BC81" i="103"/>
  <c r="BE81" i="103" s="1"/>
  <c r="AT88" i="103"/>
  <c r="BC88" i="103"/>
  <c r="BE88" i="103" s="1"/>
  <c r="AZ88" i="103"/>
  <c r="BG46" i="103"/>
  <c r="AQ82" i="103"/>
  <c r="AR64" i="103"/>
  <c r="AQ79" i="103"/>
  <c r="AX93" i="103"/>
  <c r="AT93" i="103"/>
  <c r="AT48" i="103"/>
  <c r="AQ31" i="103"/>
  <c r="AT31" i="103"/>
  <c r="AQ87" i="103"/>
  <c r="AT87" i="103"/>
  <c r="AQ95" i="103"/>
  <c r="AX54" i="103"/>
  <c r="AT54" i="103"/>
  <c r="AC102" i="103"/>
  <c r="AL87" i="103"/>
  <c r="AQ64" i="103"/>
  <c r="AQ68" i="103"/>
  <c r="AD53" i="103"/>
  <c r="AC65" i="103"/>
  <c r="AR38" i="103"/>
  <c r="AX113" i="103"/>
  <c r="AT113" i="103"/>
  <c r="AQ55" i="103"/>
  <c r="AL62" i="103"/>
  <c r="AT62" i="103"/>
  <c r="AR15" i="103"/>
  <c r="AT15" i="103"/>
  <c r="AX28" i="103"/>
  <c r="AT28" i="103"/>
  <c r="AT95" i="103"/>
  <c r="AX20" i="103"/>
  <c r="AT20" i="103"/>
  <c r="AT71" i="103"/>
  <c r="AL65" i="103"/>
  <c r="AT65" i="103"/>
  <c r="AX86" i="103"/>
  <c r="AT86" i="103"/>
  <c r="AC110" i="103"/>
  <c r="AL38" i="103"/>
  <c r="AT94" i="103"/>
  <c r="AQ39" i="103"/>
  <c r="AT39" i="103"/>
  <c r="AQ111" i="103"/>
  <c r="AC95" i="103"/>
  <c r="AC83" i="103"/>
  <c r="AQ94" i="103"/>
  <c r="AQ49" i="103"/>
  <c r="AQ38" i="103"/>
  <c r="AL32" i="103"/>
  <c r="AX64" i="103"/>
  <c r="AC14" i="103"/>
  <c r="AQ18" i="103"/>
  <c r="AX18" i="103"/>
  <c r="AX45" i="103"/>
  <c r="AT45" i="103"/>
  <c r="AX101" i="103"/>
  <c r="AT101" i="103"/>
  <c r="AR87" i="103"/>
  <c r="AQ91" i="103"/>
  <c r="AT91" i="103"/>
  <c r="AQ99" i="103"/>
  <c r="AR68" i="103"/>
  <c r="AC34" i="103"/>
  <c r="AQ42" i="103"/>
  <c r="AT42" i="103"/>
  <c r="AC18" i="103"/>
  <c r="N6" i="103" s="1"/>
  <c r="AL64" i="103"/>
  <c r="AR20" i="103"/>
  <c r="AQ13" i="103"/>
  <c r="AT13" i="103"/>
  <c r="AX55" i="103"/>
  <c r="AL73" i="103"/>
  <c r="AT73" i="103"/>
  <c r="AX77" i="103"/>
  <c r="AT77" i="103"/>
  <c r="AT85" i="103"/>
  <c r="AR85" i="103"/>
  <c r="AL95" i="103"/>
  <c r="AL68" i="103"/>
  <c r="AR54" i="103"/>
  <c r="AX96" i="103"/>
  <c r="AT96" i="103"/>
  <c r="AR55" i="103"/>
  <c r="AT55" i="103"/>
  <c r="AX21" i="103"/>
  <c r="AT21" i="103"/>
  <c r="AD76" i="103"/>
  <c r="AD63" i="103"/>
  <c r="AC55" i="103"/>
  <c r="AQ69" i="103"/>
  <c r="AQ27" i="103"/>
  <c r="AQ51" i="103"/>
  <c r="AX30" i="103"/>
  <c r="AL30" i="103"/>
  <c r="AD96" i="103"/>
  <c r="AQ23" i="103"/>
  <c r="AD15" i="103"/>
  <c r="AX67" i="103"/>
  <c r="AR67" i="103"/>
  <c r="AX37" i="103"/>
  <c r="AX24" i="103"/>
  <c r="AL24" i="103"/>
  <c r="AR24" i="103"/>
  <c r="AQ66" i="103"/>
  <c r="AC94" i="103"/>
  <c r="AX73" i="103"/>
  <c r="AC35" i="103"/>
  <c r="AC71" i="103"/>
  <c r="AD71" i="103"/>
  <c r="AQ24" i="103"/>
  <c r="AC111" i="103"/>
  <c r="AD88" i="103"/>
  <c r="AR73" i="103"/>
  <c r="AC43" i="103"/>
  <c r="AX16" i="103"/>
  <c r="AL16" i="103"/>
  <c r="AR16" i="103"/>
  <c r="AX32" i="103"/>
  <c r="AX98" i="103"/>
  <c r="AL98" i="103"/>
  <c r="AD105" i="103"/>
  <c r="AQ52" i="103"/>
  <c r="AR30" i="103"/>
  <c r="AQ30" i="103"/>
  <c r="AX106" i="103"/>
  <c r="AL106" i="103"/>
  <c r="AQ73" i="103"/>
  <c r="AC85" i="103"/>
  <c r="AD85" i="103"/>
  <c r="AX70" i="103"/>
  <c r="AL70" i="103"/>
  <c r="AR70" i="103"/>
  <c r="AL112" i="103"/>
  <c r="AQ107" i="103"/>
  <c r="AQ60" i="103"/>
  <c r="AC42" i="103"/>
  <c r="AX38" i="103"/>
  <c r="AL80" i="103"/>
  <c r="AR80" i="103"/>
  <c r="AC73" i="103"/>
  <c r="AQ76" i="103"/>
  <c r="AD66" i="103"/>
  <c r="AC66" i="103"/>
  <c r="AL83" i="103"/>
  <c r="AX83" i="103"/>
  <c r="AR83" i="103"/>
  <c r="AQ74" i="103"/>
  <c r="AR49" i="103"/>
  <c r="AX49" i="103"/>
  <c r="AL49" i="103"/>
  <c r="AD57" i="103"/>
  <c r="AX41" i="103"/>
  <c r="AL41" i="103"/>
  <c r="AR41" i="103"/>
  <c r="AC28" i="103"/>
  <c r="AX31" i="103"/>
  <c r="AR31" i="103"/>
  <c r="AL31" i="103"/>
  <c r="AR42" i="103"/>
  <c r="AX42" i="103"/>
  <c r="AL42" i="103"/>
  <c r="AQ33" i="103"/>
  <c r="AR27" i="103"/>
  <c r="AX27" i="103"/>
  <c r="AL27" i="103"/>
  <c r="AC25" i="103"/>
  <c r="AD25" i="103"/>
  <c r="AC51" i="103"/>
  <c r="AL59" i="103"/>
  <c r="AR59" i="103"/>
  <c r="AX59" i="103"/>
  <c r="AR25" i="103"/>
  <c r="AX25" i="103"/>
  <c r="AL25" i="103"/>
  <c r="AC17" i="103"/>
  <c r="AD17" i="103"/>
  <c r="AQ25" i="103"/>
  <c r="AR102" i="103"/>
  <c r="AX102" i="103"/>
  <c r="AL102" i="103"/>
  <c r="AQ102" i="103"/>
  <c r="AQ109" i="103"/>
  <c r="AC109" i="103"/>
  <c r="AD91" i="103"/>
  <c r="AC91" i="103"/>
  <c r="AC69" i="103"/>
  <c r="AR79" i="103"/>
  <c r="AX79" i="103"/>
  <c r="AL79" i="103"/>
  <c r="AD54" i="103"/>
  <c r="AL82" i="103"/>
  <c r="AR82" i="103"/>
  <c r="AX82" i="103"/>
  <c r="AL74" i="103"/>
  <c r="AR74" i="103"/>
  <c r="AX74" i="103"/>
  <c r="AR60" i="103"/>
  <c r="AX60" i="103"/>
  <c r="AL60" i="103"/>
  <c r="AX51" i="103"/>
  <c r="AL51" i="103"/>
  <c r="AR51" i="103"/>
  <c r="AD41" i="103"/>
  <c r="AC41" i="103"/>
  <c r="AD60" i="103"/>
  <c r="AQ61" i="103"/>
  <c r="AC92" i="103"/>
  <c r="AD92" i="103"/>
  <c r="AX109" i="103"/>
  <c r="AR109" i="103"/>
  <c r="AL109" i="103"/>
  <c r="AQ84" i="103"/>
  <c r="AR111" i="103"/>
  <c r="AX111" i="103"/>
  <c r="AL111" i="103"/>
  <c r="AD100" i="103"/>
  <c r="AD67" i="103"/>
  <c r="AC67" i="103"/>
  <c r="AD86" i="103"/>
  <c r="AC82" i="103"/>
  <c r="AD82" i="103"/>
  <c r="AC74" i="103"/>
  <c r="AD74" i="103"/>
  <c r="AD59" i="103"/>
  <c r="AC59" i="103"/>
  <c r="AD48" i="103"/>
  <c r="AD39" i="103"/>
  <c r="AC39" i="103"/>
  <c r="AC50" i="103"/>
  <c r="AR50" i="103"/>
  <c r="AX50" i="103"/>
  <c r="AL50" i="103"/>
  <c r="AX33" i="103"/>
  <c r="AL33" i="103"/>
  <c r="AR33" i="103"/>
  <c r="AQ19" i="103"/>
  <c r="AC44" i="103"/>
  <c r="AD61" i="103"/>
  <c r="AD16" i="103"/>
  <c r="AQ50" i="103"/>
  <c r="AQ41" i="103"/>
  <c r="AQ26" i="103"/>
  <c r="AQ59" i="103"/>
  <c r="AR43" i="103"/>
  <c r="AX43" i="103"/>
  <c r="AL43" i="103"/>
  <c r="AL97" i="103"/>
  <c r="AR97" i="103"/>
  <c r="AX97" i="103"/>
  <c r="AR84" i="103"/>
  <c r="AX84" i="103"/>
  <c r="AL84" i="103"/>
  <c r="AQ97" i="103"/>
  <c r="AX91" i="103"/>
  <c r="AL91" i="103"/>
  <c r="AR91" i="103"/>
  <c r="AC108" i="103"/>
  <c r="AQ108" i="103"/>
  <c r="AL66" i="103"/>
  <c r="AR66" i="103"/>
  <c r="AX66" i="103"/>
  <c r="AC56" i="103"/>
  <c r="AD56" i="103"/>
  <c r="AC49" i="103"/>
  <c r="AD49" i="103"/>
  <c r="AX53" i="103"/>
  <c r="AR53" i="103"/>
  <c r="AL53" i="103"/>
  <c r="AC40" i="103"/>
  <c r="AX99" i="103"/>
  <c r="AL99" i="103"/>
  <c r="AR99" i="103"/>
  <c r="AC58" i="103"/>
  <c r="AD58" i="103"/>
  <c r="AD107" i="103"/>
  <c r="AC107" i="103"/>
  <c r="AD97" i="103"/>
  <c r="AX107" i="103"/>
  <c r="AL107" i="103"/>
  <c r="AR107" i="103"/>
  <c r="AC101" i="103"/>
  <c r="AX75" i="103"/>
  <c r="AR75" i="103"/>
  <c r="AQ75" i="103"/>
  <c r="AL75" i="103"/>
  <c r="AX58" i="103"/>
  <c r="AR58" i="103"/>
  <c r="AL58" i="103"/>
  <c r="AC32" i="103"/>
  <c r="AD32" i="103"/>
  <c r="AD64" i="103"/>
  <c r="AC64" i="103"/>
  <c r="AC24" i="103"/>
  <c r="AD24" i="103"/>
  <c r="AD31" i="103"/>
  <c r="AR19" i="103"/>
  <c r="AX19" i="103"/>
  <c r="AL19" i="103"/>
  <c r="AQ58" i="103"/>
  <c r="AR26" i="103"/>
  <c r="AX26" i="103"/>
  <c r="AL26" i="103"/>
  <c r="AD36" i="103"/>
  <c r="AX13" i="103"/>
  <c r="AR13" i="103"/>
  <c r="AL13" i="103"/>
  <c r="AX76" i="103"/>
  <c r="AR76" i="103"/>
  <c r="AL76" i="103"/>
  <c r="AR52" i="103"/>
  <c r="AX52" i="103"/>
  <c r="AL52" i="103"/>
  <c r="AC77" i="103"/>
  <c r="AD77" i="103"/>
  <c r="AX108" i="103"/>
  <c r="AR108" i="103"/>
  <c r="AL108" i="103"/>
  <c r="AX61" i="103"/>
  <c r="AR61" i="103"/>
  <c r="AL61" i="103"/>
  <c r="AX23" i="103"/>
  <c r="AL23" i="103"/>
  <c r="AR23" i="103"/>
  <c r="AX69" i="103"/>
  <c r="AL69" i="103"/>
  <c r="AR69" i="103"/>
  <c r="AX39" i="103"/>
  <c r="AL39" i="103"/>
  <c r="AR39" i="103"/>
  <c r="AD23" i="103"/>
  <c r="AR17" i="103"/>
  <c r="AX17" i="103"/>
  <c r="AL17" i="103"/>
  <c r="BE15" i="103" l="1"/>
  <c r="BG15" i="103" s="1"/>
  <c r="AM15" i="103"/>
  <c r="BG95" i="103"/>
  <c r="BH95" i="103" s="1"/>
  <c r="BG47" i="103"/>
  <c r="BH47" i="103" s="1"/>
  <c r="BG45" i="103"/>
  <c r="BH45" i="103" s="1"/>
  <c r="BG101" i="103"/>
  <c r="BH101" i="103" s="1"/>
  <c r="BG76" i="103"/>
  <c r="BG41" i="103"/>
  <c r="BG58" i="103"/>
  <c r="BG48" i="103"/>
  <c r="BH48" i="103" s="1"/>
  <c r="AM17" i="103"/>
  <c r="BG90" i="103"/>
  <c r="BH90" i="103" s="1"/>
  <c r="BG49" i="103"/>
  <c r="BG51" i="103"/>
  <c r="BG24" i="103"/>
  <c r="BH24" i="103" s="1"/>
  <c r="BG17" i="103"/>
  <c r="BG97" i="103"/>
  <c r="BG86" i="103"/>
  <c r="BH86" i="103" s="1"/>
  <c r="BG112" i="103"/>
  <c r="BH112" i="103" s="1"/>
  <c r="AM14" i="103"/>
  <c r="BG18" i="103"/>
  <c r="BH18" i="103" s="1"/>
  <c r="BG69" i="103"/>
  <c r="BG33" i="103"/>
  <c r="BG65" i="103"/>
  <c r="BH65" i="103" s="1"/>
  <c r="BG83" i="103"/>
  <c r="BG59" i="103"/>
  <c r="BG28" i="103"/>
  <c r="BH28" i="103" s="1"/>
  <c r="BG32" i="103"/>
  <c r="BH32" i="103" s="1"/>
  <c r="BG39" i="103"/>
  <c r="BG70" i="103"/>
  <c r="BG52" i="103"/>
  <c r="BG16" i="103"/>
  <c r="BH16" i="103" s="1"/>
  <c r="BG74" i="103"/>
  <c r="BG94" i="103"/>
  <c r="BH94" i="103" s="1"/>
  <c r="BG104" i="103"/>
  <c r="BH104" i="103" s="1"/>
  <c r="BG93" i="103"/>
  <c r="BH93" i="103" s="1"/>
  <c r="BG22" i="103"/>
  <c r="BH22" i="103" s="1"/>
  <c r="BG30" i="103"/>
  <c r="BH30" i="103" s="1"/>
  <c r="BG36" i="103"/>
  <c r="BH36" i="103" s="1"/>
  <c r="BG103" i="103"/>
  <c r="BH103" i="103" s="1"/>
  <c r="BG109" i="103"/>
  <c r="BG98" i="103"/>
  <c r="BH98" i="103" s="1"/>
  <c r="BG113" i="103"/>
  <c r="BH113" i="103" s="1"/>
  <c r="BG60" i="103"/>
  <c r="BG42" i="103"/>
  <c r="BG75" i="103"/>
  <c r="AM19" i="103"/>
  <c r="BG35" i="103"/>
  <c r="BG107" i="103"/>
  <c r="BG38" i="103"/>
  <c r="BH38" i="103" s="1"/>
  <c r="BG31" i="103"/>
  <c r="BG91" i="103"/>
  <c r="BG64" i="103"/>
  <c r="BH64" i="103" s="1"/>
  <c r="BG53" i="103"/>
  <c r="AM16" i="103"/>
  <c r="BG88" i="103"/>
  <c r="BH88" i="103" s="1"/>
  <c r="BG57" i="103"/>
  <c r="BH57" i="103" s="1"/>
  <c r="BG34" i="103"/>
  <c r="BH34" i="103" s="1"/>
  <c r="BG21" i="103"/>
  <c r="BG87" i="103"/>
  <c r="BG67" i="103"/>
  <c r="BG84" i="103"/>
  <c r="BG23" i="103"/>
  <c r="BG61" i="103"/>
  <c r="BG66" i="103"/>
  <c r="AM13" i="103"/>
  <c r="BG26" i="103"/>
  <c r="BG50" i="103"/>
  <c r="BG63" i="103"/>
  <c r="BG71" i="103"/>
  <c r="BG72" i="103"/>
  <c r="BG43" i="103"/>
  <c r="BG79" i="103"/>
  <c r="BE46" i="105"/>
  <c r="AK146" i="105" s="1"/>
  <c r="BE42" i="105"/>
  <c r="BG108" i="103"/>
  <c r="BG25" i="103"/>
  <c r="BG99" i="103"/>
  <c r="BG82" i="103"/>
  <c r="BG62" i="103"/>
  <c r="BH62" i="103" s="1"/>
  <c r="BG73" i="103"/>
  <c r="BH73" i="103" s="1"/>
  <c r="BG102" i="103"/>
  <c r="BG111" i="103"/>
  <c r="BG80" i="103"/>
  <c r="BH80" i="103" s="1"/>
  <c r="BG27" i="103"/>
  <c r="BH13" i="103"/>
  <c r="BH46" i="103"/>
  <c r="BH56" i="103"/>
  <c r="BH78" i="103"/>
  <c r="BH40" i="103"/>
  <c r="BH15" i="103" l="1"/>
  <c r="AM18" i="103"/>
  <c r="BG14" i="103"/>
  <c r="BH14" i="103" s="1"/>
  <c r="BH35" i="103"/>
  <c r="BH67" i="103"/>
  <c r="BG19" i="103"/>
  <c r="BH19" i="103" s="1"/>
  <c r="BH72" i="103"/>
  <c r="BG20" i="103"/>
  <c r="BH20" i="103" s="1"/>
  <c r="AI61" i="105"/>
  <c r="BG105" i="103"/>
  <c r="BH105" i="103" s="1"/>
  <c r="BG110" i="103"/>
  <c r="BH110" i="103" s="1"/>
  <c r="BG89" i="103"/>
  <c r="BH89" i="103" s="1"/>
  <c r="BG44" i="103"/>
  <c r="BH44" i="103" s="1"/>
  <c r="BG29" i="103"/>
  <c r="BH29" i="103" s="1"/>
  <c r="BH21" i="103"/>
  <c r="BG100" i="103"/>
  <c r="BH100" i="103" s="1"/>
  <c r="BG92" i="103"/>
  <c r="BH92" i="103" s="1"/>
  <c r="BG68" i="103"/>
  <c r="BH68" i="103" s="1"/>
  <c r="BG81" i="103"/>
  <c r="BH81" i="103" s="1"/>
  <c r="BG85" i="103"/>
  <c r="BH85" i="103" s="1"/>
  <c r="BG54" i="103"/>
  <c r="BH54" i="103" s="1"/>
  <c r="BG55" i="103"/>
  <c r="BH55" i="103" s="1"/>
  <c r="BG106" i="103"/>
  <c r="BH106" i="103" s="1"/>
  <c r="BH71" i="103"/>
  <c r="BH70" i="103"/>
  <c r="BH63" i="103"/>
  <c r="BG37" i="103"/>
  <c r="BH37" i="103" s="1"/>
  <c r="BG96" i="103"/>
  <c r="BH96" i="103" s="1"/>
  <c r="BG77" i="103"/>
  <c r="BH77" i="103" s="1"/>
  <c r="BH87" i="103"/>
  <c r="BH59" i="103"/>
  <c r="BH74" i="103"/>
  <c r="BH43" i="103"/>
  <c r="BH75" i="103"/>
  <c r="BH42" i="103"/>
  <c r="BH69" i="103"/>
  <c r="BH25" i="103"/>
  <c r="BH23" i="103"/>
  <c r="BH61" i="103"/>
  <c r="BH60" i="103"/>
  <c r="BH58" i="103"/>
  <c r="BH51" i="103"/>
  <c r="BH83" i="103"/>
  <c r="BH31" i="103"/>
  <c r="BH109" i="103"/>
  <c r="BH50" i="103"/>
  <c r="BH107" i="103"/>
  <c r="BH79" i="103"/>
  <c r="BH27" i="103"/>
  <c r="BH102" i="103"/>
  <c r="BH76" i="103"/>
  <c r="BH91" i="103"/>
  <c r="BH66" i="103"/>
  <c r="BH49" i="103"/>
  <c r="BH99" i="103"/>
  <c r="BH33" i="103"/>
  <c r="BH52" i="103"/>
  <c r="BH97" i="103"/>
  <c r="BH84" i="103"/>
  <c r="BH26" i="103"/>
  <c r="BH108" i="103"/>
  <c r="BH39" i="103"/>
  <c r="BH53" i="103"/>
  <c r="BH82" i="103"/>
  <c r="BH41" i="103"/>
  <c r="BH111" i="103"/>
  <c r="BJ13" i="103" l="1"/>
  <c r="AK10" i="103" s="1"/>
  <c r="BH17" i="103"/>
  <c r="AK54" i="105" l="1"/>
  <c r="AK105" i="105"/>
  <c r="A36" i="73"/>
  <c r="A37" i="73" s="1"/>
  <c r="A38" i="73" s="1"/>
  <c r="A39" i="73" s="1"/>
  <c r="A40" i="73" s="1"/>
  <c r="A41" i="73" s="1"/>
  <c r="A42" i="73" s="1"/>
  <c r="A43" i="73" s="1"/>
  <c r="A44" i="73" s="1"/>
  <c r="A45" i="73" s="1"/>
  <c r="A46" i="73" s="1"/>
  <c r="A47" i="73" s="1"/>
  <c r="A48" i="73" s="1"/>
  <c r="A49" i="73" s="1"/>
  <c r="A50" i="73" s="1"/>
  <c r="A51" i="73" s="1"/>
  <c r="A52" i="73" s="1"/>
  <c r="A53" i="73" s="1"/>
  <c r="A54" i="73" s="1"/>
  <c r="A55" i="73" s="1"/>
  <c r="A56" i="73" s="1"/>
  <c r="A57" i="73" s="1"/>
  <c r="A58" i="73" s="1"/>
  <c r="A59" i="73" s="1"/>
  <c r="A60" i="73" s="1"/>
  <c r="A61" i="73" s="1"/>
  <c r="A62" i="73" s="1"/>
  <c r="A63" i="73" s="1"/>
  <c r="A64" i="73" s="1"/>
  <c r="A65" i="73" s="1"/>
  <c r="A66" i="73" s="1"/>
  <c r="A67" i="73" s="1"/>
  <c r="A68" i="73" s="1"/>
  <c r="A69" i="73" s="1"/>
  <c r="A70" i="73" s="1"/>
  <c r="A71" i="73" s="1"/>
  <c r="A72" i="73" s="1"/>
  <c r="A73" i="73" s="1"/>
  <c r="A74" i="73" s="1"/>
  <c r="A75" i="73" s="1"/>
  <c r="A76" i="73" s="1"/>
  <c r="A77" i="73" s="1"/>
  <c r="A78" i="73" s="1"/>
  <c r="A79" i="73" s="1"/>
  <c r="A80" i="73" s="1"/>
  <c r="A81" i="73" s="1"/>
  <c r="A82" i="73" s="1"/>
  <c r="A83" i="73" s="1"/>
  <c r="A84" i="73" s="1"/>
  <c r="A85" i="73" s="1"/>
  <c r="A86" i="73" s="1"/>
  <c r="A87" i="73" s="1"/>
  <c r="A88" i="73" s="1"/>
  <c r="A89" i="73" s="1"/>
  <c r="A90" i="73" s="1"/>
  <c r="A91" i="73" s="1"/>
  <c r="A92" i="73" s="1"/>
  <c r="A93" i="73" s="1"/>
  <c r="A94" i="73" s="1"/>
  <c r="A95" i="73" s="1"/>
  <c r="A96" i="73" s="1"/>
  <c r="A97" i="73" s="1"/>
  <c r="A98" i="73" s="1"/>
  <c r="A99" i="73" s="1"/>
  <c r="A100" i="73" s="1"/>
  <c r="A101" i="73" s="1"/>
  <c r="A102" i="73" s="1"/>
  <c r="A103" i="73" s="1"/>
  <c r="A104" i="73" s="1"/>
  <c r="A105" i="73" s="1"/>
  <c r="A106" i="73" s="1"/>
  <c r="A107" i="73" s="1"/>
  <c r="A108" i="73" s="1"/>
  <c r="A109" i="73" s="1"/>
  <c r="A110" i="73" s="1"/>
  <c r="A111" i="73" s="1"/>
  <c r="A112" i="73" s="1"/>
  <c r="A113" i="73" s="1"/>
  <c r="A114" i="73" s="1"/>
  <c r="A115" i="73" s="1"/>
  <c r="A116" i="73" s="1"/>
  <c r="A117" i="73" s="1"/>
  <c r="A118" i="73" s="1"/>
  <c r="A119" i="73" s="1"/>
  <c r="A120" i="73" s="1"/>
  <c r="A121" i="73" s="1"/>
  <c r="A122" i="73" s="1"/>
  <c r="A123" i="73" s="1"/>
  <c r="A124" i="73" s="1"/>
  <c r="A125" i="73" s="1"/>
  <c r="A126" i="73" s="1"/>
  <c r="A127" i="73" s="1"/>
  <c r="A128" i="73" s="1"/>
  <c r="A129" i="73" s="1"/>
  <c r="A130" i="73" s="1"/>
  <c r="A131" i="73" s="1"/>
  <c r="A132" i="73" s="1"/>
  <c r="A133" i="73" s="1"/>
  <c r="A134" i="73" s="1"/>
  <c r="A135" i="73" s="1"/>
  <c r="AQ38" i="73" l="1"/>
  <c r="AP38" i="73"/>
  <c r="AF38" i="73"/>
  <c r="AC38" i="73"/>
  <c r="AP35" i="73" l="1"/>
  <c r="AQ35" i="73" l="1"/>
  <c r="AQ36" i="73" l="1"/>
  <c r="AQ37" i="73"/>
  <c r="AQ39" i="73"/>
  <c r="AQ40" i="73"/>
  <c r="AQ41" i="73"/>
  <c r="AQ42" i="73"/>
  <c r="AQ43" i="73"/>
  <c r="AQ44" i="73"/>
  <c r="AQ45" i="73"/>
  <c r="AQ46" i="73"/>
  <c r="AQ47" i="73"/>
  <c r="AQ48" i="73"/>
  <c r="AQ49" i="73"/>
  <c r="AQ50" i="73"/>
  <c r="AQ51" i="73"/>
  <c r="AQ52" i="73"/>
  <c r="AQ53" i="73"/>
  <c r="AQ54" i="73"/>
  <c r="AQ55" i="73"/>
  <c r="AQ56" i="73"/>
  <c r="AQ57" i="73"/>
  <c r="AQ58" i="73"/>
  <c r="AQ59" i="73"/>
  <c r="AQ60" i="73"/>
  <c r="AQ61" i="73"/>
  <c r="AQ62" i="73"/>
  <c r="AQ63" i="73"/>
  <c r="AQ64" i="73"/>
  <c r="AQ65" i="73"/>
  <c r="AQ66" i="73"/>
  <c r="AQ67" i="73"/>
  <c r="AQ68" i="73"/>
  <c r="AQ69" i="73"/>
  <c r="AQ70" i="73"/>
  <c r="AQ71" i="73"/>
  <c r="AQ72" i="73"/>
  <c r="AQ73" i="73"/>
  <c r="AQ74" i="73"/>
  <c r="AQ75" i="73"/>
  <c r="AQ76" i="73"/>
  <c r="AQ77" i="73"/>
  <c r="AQ78" i="73"/>
  <c r="AQ79" i="73"/>
  <c r="AQ80" i="73"/>
  <c r="AQ81" i="73"/>
  <c r="AQ82" i="73"/>
  <c r="AQ83" i="73"/>
  <c r="AQ84" i="73"/>
  <c r="AQ85" i="73"/>
  <c r="AQ86" i="73"/>
  <c r="AQ87" i="73"/>
  <c r="AQ88" i="73"/>
  <c r="AQ89" i="73"/>
  <c r="AQ90" i="73"/>
  <c r="AQ91" i="73"/>
  <c r="AQ92" i="73"/>
  <c r="AQ93" i="73"/>
  <c r="AQ94" i="73"/>
  <c r="AQ95" i="73"/>
  <c r="AQ96" i="73"/>
  <c r="AQ97" i="73"/>
  <c r="AQ98" i="73"/>
  <c r="AQ99" i="73"/>
  <c r="AQ100" i="73"/>
  <c r="AQ101" i="73"/>
  <c r="AQ102" i="73"/>
  <c r="AQ103" i="73"/>
  <c r="AQ104" i="73"/>
  <c r="AQ105" i="73"/>
  <c r="AQ106" i="73"/>
  <c r="AQ107" i="73"/>
  <c r="AQ108" i="73"/>
  <c r="AQ109" i="73"/>
  <c r="AQ110" i="73"/>
  <c r="AQ111" i="73"/>
  <c r="AQ112" i="73"/>
  <c r="AQ113" i="73"/>
  <c r="AQ114" i="73"/>
  <c r="AQ115" i="73"/>
  <c r="AQ116" i="73"/>
  <c r="AQ117" i="73"/>
  <c r="AQ118" i="73"/>
  <c r="AQ119" i="73"/>
  <c r="AQ120" i="73"/>
  <c r="AQ121" i="73"/>
  <c r="AQ122" i="73"/>
  <c r="AQ123" i="73"/>
  <c r="AQ124" i="73"/>
  <c r="AQ125" i="73"/>
  <c r="AQ126" i="73"/>
  <c r="AQ127" i="73"/>
  <c r="AQ128" i="73"/>
  <c r="AQ129" i="73"/>
  <c r="AQ130" i="73"/>
  <c r="AQ131" i="73"/>
  <c r="AQ132" i="73"/>
  <c r="AQ133" i="73"/>
  <c r="AQ134" i="73"/>
  <c r="AQ135" i="73"/>
  <c r="AP36" i="73"/>
  <c r="AP37" i="73"/>
  <c r="AP39" i="73"/>
  <c r="AP40" i="73"/>
  <c r="AP41" i="73"/>
  <c r="AP42" i="73"/>
  <c r="AP43" i="73"/>
  <c r="AP44" i="73"/>
  <c r="AP45" i="73"/>
  <c r="AP46" i="73"/>
  <c r="AP47" i="73"/>
  <c r="AP48" i="73"/>
  <c r="AP49" i="73"/>
  <c r="AP50" i="73"/>
  <c r="AP51" i="73"/>
  <c r="AP52" i="73"/>
  <c r="AP53" i="73"/>
  <c r="AP54" i="73"/>
  <c r="AP55" i="73"/>
  <c r="AP56" i="73"/>
  <c r="AP57" i="73"/>
  <c r="AP58" i="73"/>
  <c r="AP59" i="73"/>
  <c r="AP60" i="73"/>
  <c r="AP61" i="73"/>
  <c r="AP62" i="73"/>
  <c r="AP63" i="73"/>
  <c r="AP64" i="73"/>
  <c r="AP65" i="73"/>
  <c r="AP66" i="73"/>
  <c r="AP67" i="73"/>
  <c r="AP68" i="73"/>
  <c r="AP69" i="73"/>
  <c r="AP70" i="73"/>
  <c r="AP71" i="73"/>
  <c r="AP72" i="73"/>
  <c r="AP73" i="73"/>
  <c r="AP74" i="73"/>
  <c r="AP75" i="73"/>
  <c r="AP76" i="73"/>
  <c r="AP77" i="73"/>
  <c r="AP78" i="73"/>
  <c r="AP79" i="73"/>
  <c r="AP80" i="73"/>
  <c r="AP81" i="73"/>
  <c r="AP82" i="73"/>
  <c r="AP83" i="73"/>
  <c r="AP84" i="73"/>
  <c r="AP85" i="73"/>
  <c r="AP86" i="73"/>
  <c r="AP87" i="73"/>
  <c r="AP88" i="73"/>
  <c r="AP89" i="73"/>
  <c r="AP90" i="73"/>
  <c r="AP91" i="73"/>
  <c r="AP92" i="73"/>
  <c r="AP93" i="73"/>
  <c r="AP94" i="73"/>
  <c r="AP95" i="73"/>
  <c r="AP96" i="73"/>
  <c r="AP97" i="73"/>
  <c r="AP98" i="73"/>
  <c r="AP99" i="73"/>
  <c r="AP100" i="73"/>
  <c r="AP101" i="73"/>
  <c r="AP102" i="73"/>
  <c r="AP103" i="73"/>
  <c r="AP104" i="73"/>
  <c r="AP105" i="73"/>
  <c r="AP106" i="73"/>
  <c r="AP107" i="73"/>
  <c r="AP108" i="73"/>
  <c r="AP109" i="73"/>
  <c r="AP110" i="73"/>
  <c r="AP111" i="73"/>
  <c r="AP112" i="73"/>
  <c r="AP113" i="73"/>
  <c r="AP114" i="73"/>
  <c r="AP115" i="73"/>
  <c r="AP116" i="73"/>
  <c r="AP117" i="73"/>
  <c r="AP118" i="73"/>
  <c r="AP119" i="73"/>
  <c r="AP120" i="73"/>
  <c r="AP121" i="73"/>
  <c r="AP122" i="73"/>
  <c r="AP123" i="73"/>
  <c r="AP124" i="73"/>
  <c r="AP125" i="73"/>
  <c r="AP126" i="73"/>
  <c r="AP127" i="73"/>
  <c r="AP128" i="73"/>
  <c r="AP129" i="73"/>
  <c r="AP130" i="73"/>
  <c r="AP131" i="73"/>
  <c r="AP132" i="73"/>
  <c r="AP133" i="73"/>
  <c r="AP134" i="73"/>
  <c r="AP135" i="73"/>
  <c r="AD452" i="81" l="1"/>
  <c r="AC452" i="81"/>
  <c r="AC451" i="81"/>
  <c r="AC450" i="81"/>
  <c r="AC449" i="81"/>
  <c r="AC448" i="81"/>
  <c r="AC447" i="81"/>
  <c r="AC446" i="81"/>
  <c r="AC445" i="81"/>
  <c r="AC444" i="81"/>
  <c r="AC443" i="81"/>
  <c r="AC442" i="81"/>
  <c r="AC441" i="81"/>
  <c r="AC440" i="81"/>
  <c r="AC439" i="81"/>
  <c r="AC438" i="81"/>
  <c r="AC437" i="81"/>
  <c r="AC436" i="81"/>
  <c r="AC435" i="81"/>
  <c r="AC434" i="81"/>
  <c r="AC433" i="81"/>
  <c r="AC432" i="81"/>
  <c r="AC431" i="81"/>
  <c r="AC430" i="81"/>
  <c r="AC429" i="81"/>
  <c r="AC428" i="81"/>
  <c r="AC427" i="81"/>
  <c r="AC426" i="81"/>
  <c r="AC425" i="81"/>
  <c r="AC424" i="81"/>
  <c r="AC423" i="81"/>
  <c r="AC422" i="81"/>
  <c r="AC421" i="81"/>
  <c r="AC420" i="81"/>
  <c r="AC419" i="81"/>
  <c r="AC418" i="81"/>
  <c r="AC417" i="81"/>
  <c r="AC416" i="81"/>
  <c r="AC415" i="81"/>
  <c r="AC414" i="81"/>
  <c r="AC413" i="81"/>
  <c r="AC412" i="81"/>
  <c r="AC411" i="81"/>
  <c r="AC410" i="81"/>
  <c r="AC409" i="81"/>
  <c r="AC408" i="81"/>
  <c r="AC407" i="81"/>
  <c r="AC406" i="81"/>
  <c r="AC405" i="81"/>
  <c r="AC404" i="81"/>
  <c r="AC403" i="81"/>
  <c r="AC402" i="81"/>
  <c r="AC401" i="81"/>
  <c r="AC400" i="81"/>
  <c r="AC399" i="81"/>
  <c r="AC398" i="81"/>
  <c r="AC397" i="81"/>
  <c r="AC396" i="81"/>
  <c r="AC395" i="81"/>
  <c r="AC394" i="81"/>
  <c r="AC393" i="81"/>
  <c r="AC392" i="81"/>
  <c r="AC391" i="81"/>
  <c r="AC390" i="81"/>
  <c r="AC389" i="81"/>
  <c r="AC388" i="81"/>
  <c r="AC387" i="81"/>
  <c r="AC386" i="81"/>
  <c r="AC385" i="81"/>
  <c r="AC384" i="81"/>
  <c r="AC383" i="81"/>
  <c r="AC382" i="81"/>
  <c r="AC381" i="81"/>
  <c r="AC380" i="81"/>
  <c r="AC379" i="81"/>
  <c r="AC378" i="81"/>
  <c r="AC377" i="81"/>
  <c r="AC376" i="81"/>
  <c r="AC375" i="81"/>
  <c r="AC374" i="81"/>
  <c r="AC373" i="81"/>
  <c r="AC372" i="81"/>
  <c r="AC371" i="81"/>
  <c r="AC370" i="81"/>
  <c r="AC369" i="81"/>
  <c r="AC368" i="81"/>
  <c r="AC367" i="81"/>
  <c r="AC366" i="81"/>
  <c r="AC365" i="81"/>
  <c r="AC364" i="81"/>
  <c r="AC363" i="81"/>
  <c r="AC362" i="81"/>
  <c r="AC361" i="81"/>
  <c r="AC360" i="81"/>
  <c r="AC359" i="81"/>
  <c r="AC358" i="81"/>
  <c r="AC357" i="81"/>
  <c r="AC356" i="81"/>
  <c r="AC355" i="81"/>
  <c r="AC354" i="81"/>
  <c r="AC353" i="81"/>
  <c r="AC352" i="81"/>
  <c r="AC351" i="81"/>
  <c r="AC350" i="81"/>
  <c r="AC349" i="81"/>
  <c r="AC348" i="81"/>
  <c r="AC347" i="81"/>
  <c r="AC346" i="81"/>
  <c r="AC345" i="81"/>
  <c r="AC344" i="81"/>
  <c r="AC343" i="81"/>
  <c r="AC342" i="81"/>
  <c r="AC341" i="81"/>
  <c r="AC340" i="81"/>
  <c r="AC339" i="81"/>
  <c r="AC338" i="81"/>
  <c r="AC337" i="81"/>
  <c r="AC336" i="81"/>
  <c r="AC335" i="81"/>
  <c r="AC334" i="81"/>
  <c r="AC333" i="81"/>
  <c r="AC332" i="81"/>
  <c r="AC331" i="81"/>
  <c r="AC330" i="81"/>
  <c r="AC329" i="81"/>
  <c r="AC328" i="81"/>
  <c r="AC327" i="81"/>
  <c r="AC326" i="81"/>
  <c r="AC325" i="81"/>
  <c r="AC324" i="81"/>
  <c r="AC323" i="81"/>
  <c r="AC322" i="81"/>
  <c r="AC321" i="81"/>
  <c r="AC320" i="81"/>
  <c r="AC319" i="81"/>
  <c r="AC318" i="81"/>
  <c r="AC317" i="81"/>
  <c r="AC316" i="81"/>
  <c r="AC315" i="81"/>
  <c r="AC314" i="81"/>
  <c r="AC313" i="81"/>
  <c r="AC312" i="81"/>
  <c r="AC311" i="81"/>
  <c r="AC310" i="81"/>
  <c r="AC309" i="81"/>
  <c r="AC308" i="81"/>
  <c r="AC307" i="81"/>
  <c r="AC306" i="81"/>
  <c r="AC305" i="81"/>
  <c r="AC304" i="81"/>
  <c r="AC303" i="81"/>
  <c r="AC302" i="81"/>
  <c r="AC301" i="81"/>
  <c r="AC300" i="81"/>
  <c r="AC299" i="81"/>
  <c r="AC298" i="81"/>
  <c r="AC297" i="81"/>
  <c r="AC296" i="81"/>
  <c r="AC295" i="81"/>
  <c r="AC294" i="81"/>
  <c r="AC293" i="81"/>
  <c r="AC292" i="81"/>
  <c r="AC291" i="81"/>
  <c r="AC290" i="81"/>
  <c r="AC289" i="81"/>
  <c r="AC288" i="81"/>
  <c r="AC287" i="81"/>
  <c r="AC286" i="81"/>
  <c r="AC285" i="81"/>
  <c r="AC284" i="81"/>
  <c r="AC283" i="81"/>
  <c r="AC282" i="81"/>
  <c r="AC281" i="81"/>
  <c r="AC280" i="81"/>
  <c r="AC279" i="81"/>
  <c r="AC278" i="81"/>
  <c r="AC277" i="81"/>
  <c r="AC276" i="81"/>
  <c r="AC275" i="81"/>
  <c r="AC274" i="81"/>
  <c r="AC273" i="81"/>
  <c r="AC272" i="81"/>
  <c r="AC271" i="81"/>
  <c r="AC270" i="81"/>
  <c r="AC269" i="81"/>
  <c r="AC268" i="81"/>
  <c r="AC267" i="81"/>
  <c r="AC266" i="81"/>
  <c r="AC265" i="81"/>
  <c r="AC264" i="81"/>
  <c r="AC263" i="81"/>
  <c r="AC262" i="81"/>
  <c r="AC261" i="81"/>
  <c r="AC260" i="81"/>
  <c r="AC259" i="81"/>
  <c r="AC258" i="81"/>
  <c r="AC257" i="81"/>
  <c r="AC256" i="81"/>
  <c r="AC255" i="81"/>
  <c r="AC254" i="81"/>
  <c r="AC253" i="81"/>
  <c r="AC252" i="81"/>
  <c r="AC251" i="81"/>
  <c r="AC250" i="81"/>
  <c r="AC249" i="81"/>
  <c r="AC248" i="81"/>
  <c r="AC247" i="81"/>
  <c r="AC246" i="81"/>
  <c r="AC245" i="81"/>
  <c r="AC244" i="81"/>
  <c r="AC243" i="81"/>
  <c r="AC242" i="81"/>
  <c r="AC241" i="81"/>
  <c r="AC240" i="81"/>
  <c r="AC239" i="81"/>
  <c r="AC238" i="81"/>
  <c r="AC237" i="81"/>
  <c r="AC236" i="81"/>
  <c r="AC235" i="81"/>
  <c r="AC234" i="81"/>
  <c r="AC233" i="81"/>
  <c r="AC232" i="81"/>
  <c r="AC231" i="81"/>
  <c r="AC230" i="81"/>
  <c r="AC229" i="81"/>
  <c r="AC228" i="81"/>
  <c r="AC227" i="81"/>
  <c r="AC226" i="81"/>
  <c r="AC225" i="81"/>
  <c r="AC224" i="81"/>
  <c r="AC223" i="81"/>
  <c r="AC222" i="81"/>
  <c r="AC221" i="81"/>
  <c r="AC220" i="81"/>
  <c r="AC219" i="81"/>
  <c r="AC218" i="81"/>
  <c r="AC217" i="81"/>
  <c r="AC216" i="81"/>
  <c r="AC215" i="81"/>
  <c r="AC214" i="81"/>
  <c r="AC213" i="81"/>
  <c r="AC212" i="81"/>
  <c r="AC211" i="81"/>
  <c r="AC210" i="81"/>
  <c r="AC209" i="81"/>
  <c r="AC208" i="81"/>
  <c r="AC207" i="81"/>
  <c r="AC206" i="81"/>
  <c r="AC205" i="81"/>
  <c r="AC204" i="81"/>
  <c r="AC203" i="81"/>
  <c r="AC202" i="81"/>
  <c r="AC201" i="81"/>
  <c r="AC200" i="81"/>
  <c r="AC199" i="81"/>
  <c r="AC198" i="81"/>
  <c r="AC197" i="81"/>
  <c r="AC196" i="81"/>
  <c r="AC195" i="81"/>
  <c r="AC194" i="81"/>
  <c r="AC193" i="81"/>
  <c r="AC192" i="81"/>
  <c r="AC191" i="81"/>
  <c r="AC190" i="81"/>
  <c r="AC189" i="81"/>
  <c r="AC188" i="81"/>
  <c r="AC187" i="81"/>
  <c r="AC186" i="81"/>
  <c r="AC185" i="81"/>
  <c r="AC184" i="81"/>
  <c r="AC183" i="81"/>
  <c r="AC182" i="81"/>
  <c r="AC181" i="81"/>
  <c r="AC180" i="81"/>
  <c r="AC179" i="81"/>
  <c r="AC178" i="81"/>
  <c r="AC177" i="81"/>
  <c r="AC176" i="81"/>
  <c r="AC175" i="81"/>
  <c r="AC174" i="81"/>
  <c r="AC173" i="81"/>
  <c r="AC172" i="81"/>
  <c r="AC171" i="81"/>
  <c r="AC170" i="81"/>
  <c r="AC169" i="81"/>
  <c r="AC168" i="81"/>
  <c r="AC167" i="81"/>
  <c r="AC166" i="81"/>
  <c r="AC165" i="81"/>
  <c r="AC164" i="81"/>
  <c r="AC163" i="81"/>
  <c r="AC162" i="81"/>
  <c r="AC161" i="81"/>
  <c r="AC160" i="81"/>
  <c r="AC159" i="81"/>
  <c r="AC158" i="81"/>
  <c r="AC157" i="81"/>
  <c r="AC156" i="81"/>
  <c r="AC155" i="81"/>
  <c r="AC154" i="81"/>
  <c r="AC153" i="81"/>
  <c r="AC152" i="81"/>
  <c r="AC151" i="81"/>
  <c r="AC150" i="81"/>
  <c r="AC149" i="81"/>
  <c r="AC148" i="81"/>
  <c r="AC147" i="81"/>
  <c r="AC146" i="81"/>
  <c r="AC145" i="81"/>
  <c r="AC144" i="81"/>
  <c r="AC143" i="81"/>
  <c r="AC142" i="81"/>
  <c r="AC141" i="81"/>
  <c r="AC140" i="81"/>
  <c r="AC139" i="81"/>
  <c r="AC138" i="81"/>
  <c r="AC137" i="81"/>
  <c r="AC136" i="81"/>
  <c r="AC135" i="81"/>
  <c r="AC134" i="81"/>
  <c r="AC133" i="81"/>
  <c r="AC132" i="81"/>
  <c r="AC131" i="81"/>
  <c r="AC130" i="81"/>
  <c r="AC129" i="81"/>
  <c r="AC128" i="81"/>
  <c r="AC127" i="81"/>
  <c r="AC126" i="81"/>
  <c r="AC125" i="81"/>
  <c r="AC124" i="81"/>
  <c r="AC123" i="81"/>
  <c r="AC122" i="81"/>
  <c r="AC121" i="81"/>
  <c r="AC120" i="81"/>
  <c r="AC119" i="81"/>
  <c r="AC118" i="81"/>
  <c r="AC117" i="81"/>
  <c r="AC116" i="81"/>
  <c r="AC115" i="81"/>
  <c r="AC114" i="81"/>
  <c r="AC113" i="81"/>
  <c r="AC112" i="81"/>
  <c r="AC111" i="81"/>
  <c r="AC110" i="81"/>
  <c r="AC109" i="81"/>
  <c r="AC108" i="81"/>
  <c r="AC107" i="81"/>
  <c r="AC106" i="81"/>
  <c r="AC105" i="81"/>
  <c r="AC104" i="81"/>
  <c r="AC103" i="81"/>
  <c r="AC102" i="81"/>
  <c r="AC101" i="81"/>
  <c r="AC100" i="81"/>
  <c r="AC99" i="81"/>
  <c r="AC98" i="81"/>
  <c r="AC97" i="81"/>
  <c r="AC96" i="81"/>
  <c r="AC95" i="81"/>
  <c r="AC94" i="81"/>
  <c r="AC93" i="81"/>
  <c r="AC92" i="81"/>
  <c r="AC91" i="81"/>
  <c r="AC90" i="81"/>
  <c r="AC89" i="81"/>
  <c r="AC88" i="81"/>
  <c r="AC87" i="81"/>
  <c r="AC86" i="81"/>
  <c r="AC85" i="81"/>
  <c r="AC84" i="81"/>
  <c r="AC83" i="81"/>
  <c r="AC82" i="81"/>
  <c r="AC81" i="81"/>
  <c r="AC80" i="81"/>
  <c r="AC79" i="81"/>
  <c r="AC78" i="81"/>
  <c r="AC77" i="81"/>
  <c r="AC76" i="81"/>
  <c r="AC75" i="81"/>
  <c r="AC74" i="81"/>
  <c r="AC73" i="81"/>
  <c r="AC72" i="81"/>
  <c r="AC71" i="81"/>
  <c r="AC70" i="81"/>
  <c r="AC69" i="81"/>
  <c r="AC68" i="81"/>
  <c r="AC67" i="81"/>
  <c r="AC66" i="81"/>
  <c r="AC65" i="81"/>
  <c r="AC64" i="81"/>
  <c r="AC63" i="81"/>
  <c r="AC62" i="81"/>
  <c r="AC61" i="81"/>
  <c r="AC60" i="81"/>
  <c r="AC59" i="81"/>
  <c r="AC58" i="81"/>
  <c r="AC57" i="81"/>
  <c r="AC56" i="81"/>
  <c r="AC55" i="81"/>
  <c r="AK150" i="105" l="1"/>
  <c r="AK58" i="105" l="1"/>
  <c r="AM93" i="105" l="1"/>
  <c r="AM85" i="105"/>
  <c r="AK99" i="105"/>
  <c r="AK149" i="105" s="1"/>
  <c r="AK148" i="105"/>
  <c r="AM80" i="105"/>
  <c r="AM72" i="105"/>
  <c r="AM86" i="105"/>
  <c r="AM68" i="105"/>
  <c r="AM76" i="105"/>
  <c r="AF36" i="73" l="1"/>
  <c r="AF37" i="73"/>
  <c r="AF39" i="73"/>
  <c r="AF40" i="73"/>
  <c r="AF41" i="73"/>
  <c r="AF42" i="73"/>
  <c r="AF43" i="73"/>
  <c r="AF44" i="73"/>
  <c r="AF45" i="73"/>
  <c r="AF46" i="73"/>
  <c r="AF47" i="73"/>
  <c r="AF48" i="73"/>
  <c r="AF49" i="73"/>
  <c r="AF50" i="73"/>
  <c r="AF51" i="73"/>
  <c r="AF52" i="73"/>
  <c r="AF53" i="73"/>
  <c r="AF54" i="73"/>
  <c r="AF55" i="73"/>
  <c r="AF56" i="73"/>
  <c r="AF57" i="73"/>
  <c r="AF58" i="73"/>
  <c r="AF59" i="73"/>
  <c r="AF60" i="73"/>
  <c r="AF61" i="73"/>
  <c r="AF62" i="73"/>
  <c r="AF63" i="73"/>
  <c r="AF64" i="73"/>
  <c r="AF65" i="73"/>
  <c r="AF66" i="73"/>
  <c r="AF67" i="73"/>
  <c r="AF68" i="73"/>
  <c r="AF69" i="73"/>
  <c r="AF70" i="73"/>
  <c r="AF71" i="73"/>
  <c r="AF72" i="73"/>
  <c r="AF73" i="73"/>
  <c r="AF74" i="73"/>
  <c r="AF75" i="73"/>
  <c r="AF76" i="73"/>
  <c r="AF77" i="73"/>
  <c r="AF78" i="73"/>
  <c r="AF79" i="73"/>
  <c r="AF80" i="73"/>
  <c r="AF81" i="73"/>
  <c r="AF82" i="73"/>
  <c r="AF83" i="73"/>
  <c r="AF84" i="73"/>
  <c r="AF85" i="73"/>
  <c r="AF86" i="73"/>
  <c r="AF87" i="73"/>
  <c r="AF88" i="73"/>
  <c r="AF89" i="73"/>
  <c r="AF90" i="73"/>
  <c r="AF91" i="73"/>
  <c r="AF92" i="73"/>
  <c r="AF93" i="73"/>
  <c r="AF94" i="73"/>
  <c r="AF95" i="73"/>
  <c r="AF96" i="73"/>
  <c r="AF97" i="73"/>
  <c r="AF98" i="73"/>
  <c r="AF99" i="73"/>
  <c r="AF100" i="73"/>
  <c r="AF101" i="73"/>
  <c r="AF102" i="73"/>
  <c r="AF103" i="73"/>
  <c r="AF104" i="73"/>
  <c r="AF105" i="73"/>
  <c r="AF106" i="73"/>
  <c r="AF107" i="73"/>
  <c r="AF108" i="73"/>
  <c r="AF109" i="73"/>
  <c r="AF110" i="73"/>
  <c r="AF111" i="73"/>
  <c r="AF112" i="73"/>
  <c r="AF113" i="73"/>
  <c r="AF114" i="73"/>
  <c r="AF115" i="73"/>
  <c r="AF116" i="73"/>
  <c r="AF117" i="73"/>
  <c r="AF118" i="73"/>
  <c r="AF119" i="73"/>
  <c r="AF120" i="73"/>
  <c r="AF121" i="73"/>
  <c r="AF122" i="73"/>
  <c r="AF123" i="73"/>
  <c r="AF124" i="73"/>
  <c r="AF125" i="73"/>
  <c r="AF126" i="73"/>
  <c r="AF127" i="73"/>
  <c r="AF128" i="73"/>
  <c r="AF129" i="73"/>
  <c r="AF130" i="73"/>
  <c r="AF131" i="73"/>
  <c r="AF132" i="73"/>
  <c r="AF133" i="73"/>
  <c r="AF134" i="73"/>
  <c r="AF135" i="73"/>
  <c r="AF35" i="73"/>
  <c r="L21" i="106" l="1"/>
  <c r="L21" i="103"/>
  <c r="L20" i="106"/>
  <c r="L20" i="103"/>
  <c r="AD13" i="103"/>
  <c r="AE21" i="103" l="1"/>
  <c r="AQ21" i="103" s="1"/>
  <c r="AD21" i="103"/>
  <c r="AC21" i="103"/>
  <c r="AE21" i="106"/>
  <c r="AQ21" i="106" s="1"/>
  <c r="AC21" i="106"/>
  <c r="AD21" i="106"/>
  <c r="AE20" i="103"/>
  <c r="AC20" i="103"/>
  <c r="BP20" i="103" s="1"/>
  <c r="BP11" i="103" s="1"/>
  <c r="BO10" i="103" s="1"/>
  <c r="AD20" i="103"/>
  <c r="AE20" i="106"/>
  <c r="AQ20" i="106" s="1"/>
  <c r="AD20" i="106"/>
  <c r="AC20" i="106"/>
  <c r="W108" i="105" l="1"/>
  <c r="W110" i="105" s="1"/>
  <c r="AC110" i="105" s="1"/>
  <c r="L7" i="106"/>
  <c r="K8" i="103"/>
  <c r="L5" i="106"/>
  <c r="AE10" i="106"/>
  <c r="L6" i="106" s="1"/>
  <c r="AM20" i="106"/>
  <c r="K6" i="103"/>
  <c r="L6" i="103"/>
  <c r="AQ20" i="103"/>
  <c r="L7" i="103"/>
  <c r="AC36" i="73"/>
  <c r="AC37" i="73"/>
  <c r="AC39" i="73"/>
  <c r="AC40" i="73"/>
  <c r="AC41" i="73"/>
  <c r="AC42" i="73"/>
  <c r="AC43" i="73"/>
  <c r="AC44" i="73"/>
  <c r="AC45" i="73"/>
  <c r="AC46" i="73"/>
  <c r="AC47" i="73"/>
  <c r="AC48" i="73"/>
  <c r="AC49" i="73"/>
  <c r="AC50" i="73"/>
  <c r="AC51" i="73"/>
  <c r="AC52" i="73"/>
  <c r="AC53" i="73"/>
  <c r="AC54" i="73"/>
  <c r="AC55" i="73"/>
  <c r="AC56" i="73"/>
  <c r="AC57" i="73"/>
  <c r="AC58" i="73"/>
  <c r="AC59" i="73"/>
  <c r="AC60" i="73"/>
  <c r="AC61" i="73"/>
  <c r="AC62" i="73"/>
  <c r="AC63" i="73"/>
  <c r="AC64" i="73"/>
  <c r="AC65" i="73"/>
  <c r="AC66" i="73"/>
  <c r="AC67" i="73"/>
  <c r="AC68" i="73"/>
  <c r="AC69" i="73"/>
  <c r="AC70" i="73"/>
  <c r="AC71" i="73"/>
  <c r="AC72" i="73"/>
  <c r="AC73" i="73"/>
  <c r="AC74" i="73"/>
  <c r="AC75" i="73"/>
  <c r="AC76" i="73"/>
  <c r="AC77" i="73"/>
  <c r="AC78" i="73"/>
  <c r="AC79" i="73"/>
  <c r="AC80" i="73"/>
  <c r="AC81" i="73"/>
  <c r="AC82" i="73"/>
  <c r="AC83" i="73"/>
  <c r="AC84" i="73"/>
  <c r="AC85" i="73"/>
  <c r="AC86" i="73"/>
  <c r="AC87" i="73"/>
  <c r="AC88" i="73"/>
  <c r="AC89" i="73"/>
  <c r="AC90" i="73"/>
  <c r="AC91" i="73"/>
  <c r="AC92" i="73"/>
  <c r="AC93" i="73"/>
  <c r="AC94" i="73"/>
  <c r="AC95" i="73"/>
  <c r="AC96" i="73"/>
  <c r="AC97" i="73"/>
  <c r="AC98" i="73"/>
  <c r="AC99" i="73"/>
  <c r="AC100" i="73"/>
  <c r="AC101" i="73"/>
  <c r="AC102" i="73"/>
  <c r="AC103" i="73"/>
  <c r="AC104" i="73"/>
  <c r="AC105" i="73"/>
  <c r="AC106" i="73"/>
  <c r="AC107" i="73"/>
  <c r="AC108" i="73"/>
  <c r="AC109" i="73"/>
  <c r="AC110" i="73"/>
  <c r="AC111" i="73"/>
  <c r="AC112" i="73"/>
  <c r="AC113" i="73"/>
  <c r="AC114" i="73"/>
  <c r="AC115" i="73"/>
  <c r="AC116" i="73"/>
  <c r="AC117" i="73"/>
  <c r="AC118" i="73"/>
  <c r="AC119" i="73"/>
  <c r="AC120" i="73"/>
  <c r="AC121" i="73"/>
  <c r="AC122" i="73"/>
  <c r="AC123" i="73"/>
  <c r="AC124" i="73"/>
  <c r="AC125" i="73"/>
  <c r="AC126" i="73"/>
  <c r="AC127" i="73"/>
  <c r="AC128" i="73"/>
  <c r="AC129" i="73"/>
  <c r="AC130" i="73"/>
  <c r="AC131" i="73"/>
  <c r="AC132" i="73"/>
  <c r="AC133" i="73"/>
  <c r="AC134" i="73"/>
  <c r="AC135" i="73"/>
  <c r="AC35" i="73"/>
  <c r="Q17" i="105" l="1"/>
  <c r="Q21" i="105" s="1"/>
  <c r="Y21" i="105" s="1"/>
  <c r="AA21" i="105" s="1"/>
  <c r="Q16" i="105"/>
  <c r="Y18" i="105" s="1"/>
  <c r="AK140" i="105" s="1"/>
  <c r="AE10" i="103"/>
  <c r="K7" i="103" s="1"/>
  <c r="T31" i="105" s="1"/>
  <c r="AB31" i="105" s="1"/>
  <c r="AM20" i="103"/>
  <c r="AO18" i="73"/>
  <c r="AC54" i="81"/>
  <c r="AC53" i="81"/>
  <c r="AC52" i="81"/>
  <c r="AC51" i="81"/>
  <c r="AC50" i="81"/>
  <c r="AC49" i="81"/>
  <c r="AC48" i="81"/>
  <c r="AC47" i="81"/>
  <c r="AC46" i="81"/>
  <c r="AC45" i="81"/>
  <c r="AC44" i="81"/>
  <c r="AC43" i="81"/>
  <c r="AC42" i="81"/>
  <c r="AC41" i="81"/>
  <c r="AC40" i="81"/>
  <c r="AC39" i="81"/>
  <c r="AC38" i="81"/>
  <c r="AC37" i="81"/>
  <c r="AC36" i="81"/>
  <c r="AC35" i="81"/>
  <c r="AC34" i="81"/>
  <c r="AC33" i="81"/>
  <c r="AC32" i="81"/>
  <c r="AC31" i="81"/>
  <c r="AC30" i="81"/>
  <c r="AC29" i="81"/>
  <c r="AC28" i="81"/>
  <c r="AC27" i="81"/>
  <c r="AC26" i="81"/>
  <c r="AC25" i="81"/>
  <c r="AC24" i="81"/>
  <c r="AC23" i="81"/>
  <c r="AC22" i="81"/>
  <c r="AC21" i="81"/>
  <c r="AC20" i="81"/>
  <c r="AC19" i="81"/>
  <c r="AC18" i="81"/>
  <c r="AC17" i="81"/>
  <c r="AC16" i="81"/>
  <c r="AC15" i="81"/>
  <c r="AC14" i="81"/>
  <c r="AC13" i="81"/>
  <c r="AC12" i="81"/>
  <c r="AC11" i="81"/>
  <c r="AC10" i="81"/>
  <c r="AC9" i="81"/>
  <c r="AC8" i="81"/>
  <c r="AC7" i="81"/>
  <c r="AC6" i="81"/>
  <c r="AC5" i="81"/>
  <c r="AC4" i="81"/>
  <c r="AC3" i="81"/>
  <c r="AK30" i="105" l="1" a="1"/>
  <c r="AK30" i="105" s="1"/>
  <c r="AK143" i="105"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L22" authorId="0" shapeId="0" xr:uid="{7B9EF07D-0B00-4990-B1F3-68099B411EEC}">
      <text>
        <r>
          <rPr>
            <sz val="9"/>
            <color indexed="81"/>
            <rFont val="MS P ゴシック"/>
            <family val="3"/>
            <charset val="128"/>
          </rPr>
          <t>13桁の法人番号を入力してください
（13桁の入力以外は受け付けません。</t>
        </r>
        <r>
          <rPr>
            <sz val="11"/>
            <color indexed="81"/>
            <rFont val="MS P ゴシック"/>
            <family val="3"/>
            <charset val="128"/>
          </rPr>
          <t>）</t>
        </r>
      </text>
    </comment>
    <comment ref="A31" authorId="0" shapeId="0" xr:uid="{358B7D0F-8F57-4B69-81F6-EB725448DD05}">
      <text>
        <r>
          <rPr>
            <sz val="8"/>
            <color indexed="81"/>
            <rFont val="MS P ゴシック"/>
            <family val="3"/>
            <charset val="128"/>
          </rPr>
          <t>記入状況については、AG～AK列の表を参考にご確認ください。</t>
        </r>
      </text>
    </comment>
    <comment ref="B33" authorId="0" shapeId="0" xr:uid="{3287E451-CA2D-466D-A142-2C761E338E4B}">
      <text>
        <r>
          <rPr>
            <sz val="8"/>
            <color indexed="81"/>
            <rFont val="MS P ゴシック"/>
            <family val="3"/>
            <charset val="128"/>
          </rPr>
          <t>10桁の事業所番号を入力してください（10桁の入力以外は受け付けません。）</t>
        </r>
      </text>
    </comment>
    <comment ref="L33" authorId="0" shapeId="0" xr:uid="{CD82ABF1-5ED4-4008-A612-751050E63F1E}">
      <text>
        <r>
          <rPr>
            <sz val="8"/>
            <color indexed="81"/>
            <rFont val="MS P ゴシック"/>
            <family val="3"/>
            <charset val="128"/>
          </rPr>
          <t>指定申請等の届出先を記入してください。</t>
        </r>
      </text>
    </comment>
    <comment ref="Z33" authorId="0" shapeId="0" xr:uid="{B4BE1C6A-BD1F-478F-9BBD-EBF97D53A0C5}">
      <text>
        <r>
          <rPr>
            <sz val="8"/>
            <color indexed="81"/>
            <rFont val="MS P ゴシック"/>
            <family val="3"/>
            <charset val="128"/>
          </rPr>
          <t>必ずプルダウンで入力してください。</t>
        </r>
      </text>
    </comment>
    <comment ref="AD33" authorId="0" shapeId="0" xr:uid="{B51827DE-F86D-4EEC-B91F-8A172105203E}">
      <text>
        <r>
          <rPr>
            <sz val="8"/>
            <color indexed="81"/>
            <rFont val="MS P ゴシック"/>
            <family val="3"/>
            <charset val="128"/>
          </rPr>
          <t>一月当たりの障害福祉サービス等報酬総額の見込みをできるだけ正確に記載するようにしてください。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H5" authorId="0" shapeId="0" xr:uid="{AE289140-F1B8-46E3-A24C-A0998BE68215}">
      <text>
        <r>
          <rPr>
            <sz val="10"/>
            <color rgb="FF000000"/>
            <rFont val="MS P ゴシック"/>
            <family val="3"/>
            <charset val="128"/>
          </rPr>
          <t xml:space="preserve">本別紙様式２-１を完成させるには、「基本情報入力シート」「別紙様式２-２」「別紙様式２-３」から転記される情報が必要です。
</t>
        </r>
        <r>
          <rPr>
            <b/>
            <u/>
            <sz val="10"/>
            <color rgb="FF000000"/>
            <rFont val="MS P ゴシック"/>
            <family val="3"/>
            <charset val="128"/>
          </rPr>
          <t>まずは他のシートを完成させてください。</t>
        </r>
      </text>
    </comment>
    <comment ref="Q16" authorId="0" shapeId="0" xr:uid="{20B2A163-E446-42C6-8F35-C7971CAB8098}">
      <text>
        <r>
          <rPr>
            <sz val="9"/>
            <color rgb="FF000000"/>
            <rFont val="MS P ゴシック"/>
            <family val="3"/>
            <charset val="128"/>
          </rPr>
          <t>別紙様式２－２に記入した内容に基づき、令和８年度の加算の見込額の合計が自動で表示されます。</t>
        </r>
      </text>
    </comment>
    <comment ref="Q18" authorId="0" shapeId="0" xr:uid="{041F5055-B46C-4E32-B601-C15127426D3E}">
      <text>
        <r>
          <rPr>
            <sz val="9"/>
            <color rgb="FF000000"/>
            <rFont val="MS P ゴシック"/>
            <charset val="128"/>
          </rPr>
          <t>事業者等において推計した加算による賃金改善の見込額を、直接記入してください。
推計の具体的な方法は問いませんが、加算を原資として行う各職員の賃金改善の見込額を積み上げる（足し上げる）などの方法により推計してください。
令和７年度と比較して、職員の賃下げにならないような計画としてください。</t>
        </r>
      </text>
    </comment>
    <comment ref="Z31" authorId="0" shapeId="0" xr:uid="{CD44789B-1105-458B-829E-7BBE2E3875B3}">
      <text>
        <r>
          <rPr>
            <sz val="9"/>
            <color rgb="FF000000"/>
            <rFont val="MS P ゴシック"/>
            <family val="3"/>
            <charset val="128"/>
          </rPr>
          <t>別紙様式２－２に記入した内容をもとに、令和８年４月以降の12か月分の値が自動で入力されます。</t>
        </r>
      </text>
    </comment>
    <comment ref="Z32" authorId="0" shapeId="0" xr:uid="{CEF677B0-16D2-4C2D-AC21-DE2B3A8C6FD7}">
      <text>
        <r>
          <rPr>
            <sz val="9"/>
            <color rgb="FF000000"/>
            <rFont val="MS P ゴシック"/>
            <family val="3"/>
            <charset val="128"/>
          </rPr>
          <t>令和７年度以前から算定していた部分の配分も含め、令和８年４月以降の処遇改善加算の配分方法のうち、
基本給等（基本給又は決まって毎月支払われる手当）で行っている賃金改善の総額を記入してください。</t>
        </r>
      </text>
    </comment>
    <comment ref="B139" authorId="0" shapeId="0" xr:uid="{6D0FBFE3-8AD4-473E-A005-69C724664670}">
      <text>
        <r>
          <rPr>
            <sz val="9"/>
            <color rgb="FF000000"/>
            <rFont val="MS P ゴシック"/>
            <charset val="128"/>
          </rPr>
          <t>空欄が表示される項目は、記入が不要のため、</t>
        </r>
        <r>
          <rPr>
            <sz val="9"/>
            <color rgb="FF000000"/>
            <rFont val="MS P ゴシック"/>
            <charset val="128"/>
          </rPr>
          <t xml:space="preserve">
</t>
        </r>
        <r>
          <rPr>
            <sz val="9"/>
            <color rgb="FF000000"/>
            <rFont val="MS P ゴシック"/>
            <charset val="128"/>
          </rPr>
          <t>対応する必要はありません。</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Q11" authorId="0" shapeId="0" xr:uid="{1171FDFB-E90A-4A90-8482-3132EA1188F2}">
      <text>
        <r>
          <rPr>
            <sz val="11"/>
            <color indexed="81"/>
            <rFont val="MS P ゴシック"/>
            <family val="3"/>
            <charset val="128"/>
          </rPr>
          <t>各加算の「算定対象月」（通常は４月～翌年３月）を記入してください。
※「賃金改善実施期間」（賃金の支払い方法により、６月～翌年５月となることもある）ではありません。
※年度中に区分変更を行う場合、基本情報入力シートに当該事業所の記載を一行追加し、区分変更前の算定状況と変更後の算定状況を各行に記載してください。
　（例：前者の加算区分は「処遇改善加算Ⅱ」、算定対象月は４月から８月、後者の加算区分は「処遇改善加算Ⅰ」、算定対象月は９月から翌年３月。）</t>
        </r>
      </text>
    </comment>
    <comment ref="AI12" authorId="0" shapeId="0" xr:uid="{893BBE6E-12DF-4341-8EC6-D5A17EB749A7}">
      <text>
        <r>
          <rPr>
            <sz val="11"/>
            <color indexed="81"/>
            <rFont val="MS P ゴシック"/>
            <family val="3"/>
            <charset val="128"/>
          </rPr>
          <t>・当該事業所に従事する経験・技能のある障害福祉人材のうち改善後の賃金が年額460万円以上となる見込みの者が1人以上いる場合は○を選択してください。</t>
        </r>
      </text>
    </comment>
    <comment ref="AV12" authorId="0" shapeId="0" xr:uid="{5A102452-37C9-45AA-8305-8C95E7779F1D}">
      <text>
        <r>
          <rPr>
            <sz val="12"/>
            <color indexed="81"/>
            <rFont val="MS P ゴシック"/>
            <family val="3"/>
            <charset val="128"/>
          </rPr>
          <t>短期入所生活介護、短期入所療養介護、総合事業（訪問型・通所型）については、
一律で除外した上で、AL列でオレンジ色で表示されるセル以外の箇所に、
事業者が要件を満たす職員数を記入した欄（＝一体で運営されている本体サービスがない場合）の数をカウントしている。</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Q11" authorId="0" shapeId="0" xr:uid="{AD707E81-4ACD-4EC1-943C-26FC42D322DF}">
      <text>
        <r>
          <rPr>
            <sz val="11"/>
            <color indexed="81"/>
            <rFont val="MS P ゴシック"/>
            <family val="3"/>
            <charset val="128"/>
          </rPr>
          <t>各加算の「算定対象月」（通常は４月～翌年３月）を記入してください。
※「賃金改善実施期間」（賃金の支払い方法により、６月～翌年５月となることもある）ではありません。
※年度中に区分変更を行う場合、基本情報入力シートに当該事業所の記載を一行追加し、区分変更前の算定状況と変更後の算定状況を各行に記載してください。
　（例：前者の加算区分は「処遇改善加算Ⅱ」、算定対象月は４月から８月、後者の加算区分は「処遇改善加算Ⅰ」、算定対象月は９月から翌年３月。）</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tc={1EDF003E-D3C1-4952-B3CF-8D90466F84B0}</author>
    <author>tc={369BEC7A-C1E1-4873-B778-DC7134328361}</author>
    <author>tc={3BAC8D45-2311-4470-A43D-2A115BBEAEE3}</author>
    <author>作成者</author>
  </authors>
  <commentList>
    <comment ref="Y1" authorId="0" shapeId="0" xr:uid="{1EDF003E-D3C1-4952-B3CF-8D90466F84B0}">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ここいらない</t>
      </text>
    </comment>
    <comment ref="O2" authorId="1" shapeId="0" xr:uid="{369BEC7A-C1E1-4873-B778-DC7134328361}">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障害は分類するのか？</t>
      </text>
    </comment>
    <comment ref="AY12" authorId="2" shapeId="0" xr:uid="{3BAC8D45-2311-4470-A43D-2A115BBEAEE3}">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月曜日ここから定義を変えていく</t>
      </text>
    </comment>
    <comment ref="T22" authorId="3" shapeId="0" xr:uid="{4683F0D0-3854-4513-958D-336B3F564CCF}">
      <text>
        <r>
          <rPr>
            <sz val="9"/>
            <color indexed="81"/>
            <rFont val="MS P ゴシック"/>
            <family val="3"/>
            <charset val="128"/>
          </rPr>
          <t xml:space="preserve">R8.1.16追加（AJ23, AL23,AM23)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<sst xmlns="http://schemas.openxmlformats.org/spreadsheetml/2006/main" count="7573" uniqueCount="2530">
  <si>
    <t>↓隠し列</t>
    <rPh sb="1" eb="2">
      <t>カク</t>
    </rPh>
    <rPh sb="3" eb="4">
      <t>レツ</t>
    </rPh>
    <phoneticPr fontId="13"/>
  </si>
  <si>
    <t>●はじめに本シート（基本情報入力シート）のセルに入力することで、申請対象となる事業所等に関する基本的な情報が、各シートに自動的に転記されます。</t>
    <phoneticPr fontId="13"/>
  </si>
  <si>
    <t>１　提出先に関する情報</t>
    <rPh sb="2" eb="4">
      <t>テイシュツ</t>
    </rPh>
    <rPh sb="4" eb="5">
      <t>サキ</t>
    </rPh>
    <rPh sb="6" eb="7">
      <t>カン</t>
    </rPh>
    <rPh sb="9" eb="11">
      <t>ジョウホウ</t>
    </rPh>
    <phoneticPr fontId="5"/>
  </si>
  <si>
    <t>提出先</t>
    <rPh sb="0" eb="2">
      <t>テイシュツ</t>
    </rPh>
    <rPh sb="2" eb="3">
      <t>サキ</t>
    </rPh>
    <phoneticPr fontId="13"/>
  </si>
  <si>
    <t>東京都</t>
  </si>
  <si>
    <t>２　基本情報</t>
    <rPh sb="2" eb="4">
      <t>キホン</t>
    </rPh>
    <rPh sb="4" eb="6">
      <t>ジョウホウ</t>
    </rPh>
    <phoneticPr fontId="7"/>
  </si>
  <si>
    <t>下表に必要事項を入力してください。記入内容が各様式に反映されます。</t>
    <phoneticPr fontId="13"/>
  </si>
  <si>
    <t>法人名</t>
    <phoneticPr fontId="13"/>
  </si>
  <si>
    <t>フリガナ</t>
    <phoneticPr fontId="13"/>
  </si>
  <si>
    <t>名称</t>
    <rPh sb="0" eb="2">
      <t>メイショウ</t>
    </rPh>
    <phoneticPr fontId="13"/>
  </si>
  <si>
    <t>法人住所</t>
    <phoneticPr fontId="13"/>
  </si>
  <si>
    <t>〒</t>
    <phoneticPr fontId="13"/>
  </si>
  <si>
    <t>100</t>
    <phoneticPr fontId="13"/>
  </si>
  <si>
    <t>-</t>
    <phoneticPr fontId="13"/>
  </si>
  <si>
    <t>〒結合</t>
    <rPh sb="1" eb="3">
      <t>ケツゴウ</t>
    </rPh>
    <phoneticPr fontId="13"/>
  </si>
  <si>
    <t>住所１（番地・住居番号まで）</t>
    <rPh sb="0" eb="2">
      <t>ジュウショ</t>
    </rPh>
    <rPh sb="4" eb="6">
      <t>バンチ</t>
    </rPh>
    <rPh sb="7" eb="9">
      <t>ジュウキョ</t>
    </rPh>
    <rPh sb="9" eb="11">
      <t>バンゴウ</t>
    </rPh>
    <phoneticPr fontId="13"/>
  </si>
  <si>
    <t>住所２（建物名等）</t>
    <rPh sb="0" eb="2">
      <t>ジュウショ</t>
    </rPh>
    <rPh sb="4" eb="6">
      <t>タテモノ</t>
    </rPh>
    <rPh sb="6" eb="7">
      <t>メイ</t>
    </rPh>
    <rPh sb="7" eb="8">
      <t>トウ</t>
    </rPh>
    <phoneticPr fontId="13"/>
  </si>
  <si>
    <t>○○ビル○○号室</t>
    <rPh sb="6" eb="8">
      <t>ゴウシツ</t>
    </rPh>
    <phoneticPr fontId="13"/>
  </si>
  <si>
    <t>法人
代表者</t>
    <phoneticPr fontId="13"/>
  </si>
  <si>
    <t>職名</t>
    <rPh sb="0" eb="2">
      <t>ショクメイ</t>
    </rPh>
    <phoneticPr fontId="13"/>
  </si>
  <si>
    <t>代表取締役</t>
    <rPh sb="0" eb="2">
      <t>ダイヒョウ</t>
    </rPh>
    <rPh sb="2" eb="5">
      <t>トリシマリヤク</t>
    </rPh>
    <phoneticPr fontId="13"/>
  </si>
  <si>
    <t>氏名</t>
    <rPh sb="0" eb="2">
      <t>シメイ</t>
    </rPh>
    <phoneticPr fontId="13"/>
  </si>
  <si>
    <t>法人番号</t>
    <phoneticPr fontId="13"/>
  </si>
  <si>
    <t>書類作成
担当者</t>
    <phoneticPr fontId="13"/>
  </si>
  <si>
    <t>厚労　太郎</t>
    <rPh sb="0" eb="2">
      <t>コウロウ</t>
    </rPh>
    <rPh sb="3" eb="5">
      <t>タロウ</t>
    </rPh>
    <phoneticPr fontId="13"/>
  </si>
  <si>
    <t>連絡先</t>
    <phoneticPr fontId="13"/>
  </si>
  <si>
    <t>電話番号</t>
    <rPh sb="0" eb="2">
      <t>デンワ</t>
    </rPh>
    <rPh sb="2" eb="4">
      <t>バンゴウ</t>
    </rPh>
    <phoneticPr fontId="13"/>
  </si>
  <si>
    <t>E-mail</t>
    <phoneticPr fontId="13"/>
  </si>
  <si>
    <t>３　加算の対象事業所に関する情報</t>
    <rPh sb="2" eb="4">
      <t>カサン</t>
    </rPh>
    <phoneticPr fontId="13"/>
  </si>
  <si>
    <t>下表に必要事項を入力してください。記入内容が別紙様式に反映されます。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27" eb="29">
      <t>ハンエイ</t>
    </rPh>
    <phoneticPr fontId="13"/>
  </si>
  <si>
    <t>✓</t>
  </si>
  <si>
    <t>番号</t>
    <rPh sb="0" eb="2">
      <t>バンゴウ</t>
    </rPh>
    <phoneticPr fontId="13"/>
  </si>
  <si>
    <t>指定権者名</t>
    <rPh sb="0" eb="2">
      <t>シテイ</t>
    </rPh>
    <rPh sb="2" eb="3">
      <t>ケン</t>
    </rPh>
    <rPh sb="3" eb="4">
      <t>ジャ</t>
    </rPh>
    <rPh sb="4" eb="5">
      <t>メイ</t>
    </rPh>
    <phoneticPr fontId="13"/>
  </si>
  <si>
    <t>事業所の所在地</t>
    <rPh sb="0" eb="3">
      <t>ジギョウショ</t>
    </rPh>
    <rPh sb="4" eb="7">
      <t>ショザイチ</t>
    </rPh>
    <phoneticPr fontId="13"/>
  </si>
  <si>
    <t>事業所名</t>
    <rPh sb="0" eb="2">
      <t>ジギョウ</t>
    </rPh>
    <rPh sb="2" eb="3">
      <t>ショ</t>
    </rPh>
    <rPh sb="3" eb="4">
      <t>メイ</t>
    </rPh>
    <phoneticPr fontId="13"/>
  </si>
  <si>
    <t>サービス名</t>
    <rPh sb="4" eb="5">
      <t>メイ</t>
    </rPh>
    <phoneticPr fontId="13"/>
  </si>
  <si>
    <t>サービスコード</t>
    <phoneticPr fontId="13"/>
  </si>
  <si>
    <t>都道府県</t>
    <rPh sb="0" eb="4">
      <t>トドウフケン</t>
    </rPh>
    <phoneticPr fontId="13"/>
  </si>
  <si>
    <t>市区町村</t>
    <rPh sb="0" eb="2">
      <t>シク</t>
    </rPh>
    <rPh sb="2" eb="4">
      <t>チョウソン</t>
    </rPh>
    <phoneticPr fontId="13"/>
  </si>
  <si>
    <t>東京都</t>
    <rPh sb="0" eb="3">
      <t>トウキョウト</t>
    </rPh>
    <phoneticPr fontId="13"/>
  </si>
  <si>
    <t>千代田区</t>
  </si>
  <si>
    <t>訪問介護</t>
  </si>
  <si>
    <t>東京都</t>
    <rPh sb="0" eb="2">
      <t>トウキョウ</t>
    </rPh>
    <rPh sb="2" eb="3">
      <t>ト</t>
    </rPh>
    <phoneticPr fontId="13"/>
  </si>
  <si>
    <t>訪問看護</t>
  </si>
  <si>
    <t>別紙様式２－１ （処遇改善加算　総括表）</t>
    <rPh sb="0" eb="2">
      <t>ベッシ</t>
    </rPh>
    <rPh sb="2" eb="4">
      <t>ヨウシキ</t>
    </rPh>
    <rPh sb="9" eb="11">
      <t>ショグウ</t>
    </rPh>
    <rPh sb="11" eb="13">
      <t>カイゼン</t>
    </rPh>
    <rPh sb="13" eb="15">
      <t>カサン</t>
    </rPh>
    <rPh sb="16" eb="19">
      <t>ソウカツヒョウ</t>
    </rPh>
    <phoneticPr fontId="13"/>
  </si>
  <si>
    <t>１　基本情報</t>
    <rPh sb="2" eb="4">
      <t>キホン</t>
    </rPh>
    <rPh sb="4" eb="6">
      <t>ジョウホウ</t>
    </rPh>
    <phoneticPr fontId="13"/>
  </si>
  <si>
    <t>法人名</t>
    <rPh sb="0" eb="2">
      <t>ホウジン</t>
    </rPh>
    <rPh sb="2" eb="3">
      <t>メイ</t>
    </rPh>
    <phoneticPr fontId="13"/>
  </si>
  <si>
    <t>法人所在地</t>
    <rPh sb="0" eb="2">
      <t>ホウジン</t>
    </rPh>
    <rPh sb="2" eb="5">
      <t>ショザイチ</t>
    </rPh>
    <phoneticPr fontId="13"/>
  </si>
  <si>
    <t>書類作成担当者</t>
    <rPh sb="0" eb="2">
      <t>ショルイ</t>
    </rPh>
    <rPh sb="2" eb="4">
      <t>サクセイ</t>
    </rPh>
    <rPh sb="4" eb="7">
      <t>タントウシャ</t>
    </rPh>
    <phoneticPr fontId="13"/>
  </si>
  <si>
    <t>連絡先</t>
    <rPh sb="0" eb="3">
      <t>レンラクサキ</t>
    </rPh>
    <phoneticPr fontId="13"/>
  </si>
  <si>
    <t>２　賃金改善計画：加算額以上の賃金改善について（全体）</t>
    <rPh sb="9" eb="11">
      <t>カサン</t>
    </rPh>
    <rPh sb="11" eb="12">
      <t>ガク</t>
    </rPh>
    <rPh sb="12" eb="14">
      <t>イジョウ</t>
    </rPh>
    <rPh sb="15" eb="17">
      <t>チンギン</t>
    </rPh>
    <rPh sb="17" eb="19">
      <t>カイゼン</t>
    </rPh>
    <rPh sb="24" eb="26">
      <t>ゼンタイ</t>
    </rPh>
    <phoneticPr fontId="13"/>
  </si>
  <si>
    <t>令和８年度に賃金改善が必要な額と賃金改善の見込額</t>
    <rPh sb="0" eb="2">
      <t>レイワ</t>
    </rPh>
    <rPh sb="3" eb="5">
      <t>ネンド</t>
    </rPh>
    <rPh sb="6" eb="8">
      <t>チンギン</t>
    </rPh>
    <rPh sb="8" eb="10">
      <t>カイゼン</t>
    </rPh>
    <rPh sb="11" eb="13">
      <t>ヒツヨウ</t>
    </rPh>
    <rPh sb="14" eb="15">
      <t>ガク</t>
    </rPh>
    <rPh sb="16" eb="18">
      <t>チンギン</t>
    </rPh>
    <rPh sb="18" eb="20">
      <t>カイゼン</t>
    </rPh>
    <rPh sb="21" eb="23">
      <t>ミコミ</t>
    </rPh>
    <rPh sb="23" eb="24">
      <t>ガク</t>
    </rPh>
    <phoneticPr fontId="13"/>
  </si>
  <si>
    <t>①</t>
    <phoneticPr fontId="13"/>
  </si>
  <si>
    <t>令和８年度の加算の見込額</t>
    <phoneticPr fontId="13"/>
  </si>
  <si>
    <t>円</t>
    <rPh sb="0" eb="1">
      <t>エン</t>
    </rPh>
    <phoneticPr fontId="13"/>
  </si>
  <si>
    <t>②</t>
    <phoneticPr fontId="13"/>
  </si>
  <si>
    <t>←</t>
    <phoneticPr fontId="13"/>
  </si>
  <si>
    <t>【記入上の注意】</t>
    <rPh sb="1" eb="3">
      <t>キニュウ</t>
    </rPh>
    <rPh sb="3" eb="4">
      <t>ジョウ</t>
    </rPh>
    <rPh sb="5" eb="7">
      <t>チュウイ</t>
    </rPh>
    <phoneticPr fontId="13"/>
  </si>
  <si>
    <t>・</t>
    <phoneticPr fontId="13"/>
  </si>
  <si>
    <t xml:space="preserve">（１）月額賃金改善要件（処遇改善加算Ⅳの1/2以上の月額賃金改善）　
</t>
    <rPh sb="3" eb="5">
      <t>ゲツガク</t>
    </rPh>
    <rPh sb="5" eb="7">
      <t>チンギン</t>
    </rPh>
    <rPh sb="7" eb="9">
      <t>カイゼン</t>
    </rPh>
    <rPh sb="9" eb="11">
      <t>ヨウケン</t>
    </rPh>
    <phoneticPr fontId="13"/>
  </si>
  <si>
    <t>別紙様式2-2、2-3「①月額賃金改善要件」の欄から転記</t>
    <rPh sb="13" eb="15">
      <t>ゲツガク</t>
    </rPh>
    <rPh sb="15" eb="17">
      <t>チンギン</t>
    </rPh>
    <rPh sb="17" eb="19">
      <t>カイゼン</t>
    </rPh>
    <rPh sb="19" eb="21">
      <t>ヨウケン</t>
    </rPh>
    <phoneticPr fontId="13"/>
  </si>
  <si>
    <t>令和８年度の処遇改善加算Ⅳ相当の見込額の１／２</t>
    <rPh sb="13" eb="15">
      <t>ソウトウ</t>
    </rPh>
    <rPh sb="16" eb="18">
      <t>ミコミ</t>
    </rPh>
    <rPh sb="18" eb="19">
      <t>ガク</t>
    </rPh>
    <phoneticPr fontId="13"/>
  </si>
  <si>
    <t>！②が①以上になっていません。</t>
    <phoneticPr fontId="13"/>
  </si>
  <si>
    <t>令和８年度の加算による賃金改善の見込額のうち、月額賃金改善による額 　（①の見込額以上となること）</t>
    <rPh sb="6" eb="8">
      <t>カサン</t>
    </rPh>
    <rPh sb="23" eb="29">
      <t>ゲツガクチンギンカイゼン</t>
    </rPh>
    <rPh sb="32" eb="33">
      <t>ガク</t>
    </rPh>
    <rPh sb="38" eb="40">
      <t>ミコミ</t>
    </rPh>
    <rPh sb="40" eb="41">
      <t>ガク</t>
    </rPh>
    <rPh sb="41" eb="43">
      <t>イジョウ</t>
    </rPh>
    <phoneticPr fontId="13"/>
  </si>
  <si>
    <t>令和８年４月以降の処遇改善加算の配分方法のうち、基本給等（基本給又は決まって毎月支払われる手当）で行っている賃金改善の総額を記入してください。</t>
    <phoneticPr fontId="13"/>
  </si>
  <si>
    <t>（２）キャリアパス要件Ⅰ・Ⅱ（任用要件・賃金体系の整備等、研修の実施等）　</t>
    <rPh sb="9" eb="11">
      <t>ヨウケン</t>
    </rPh>
    <phoneticPr fontId="13"/>
  </si>
  <si>
    <t>処遇改善加算Ⅰ・Ⅱ・Ⅲ・Ⅳを算定する事業所数</t>
    <rPh sb="14" eb="16">
      <t>サンテイ</t>
    </rPh>
    <rPh sb="18" eb="21">
      <t>ジギョウショ</t>
    </rPh>
    <rPh sb="21" eb="22">
      <t>スウ</t>
    </rPh>
    <phoneticPr fontId="13"/>
  </si>
  <si>
    <t>令和８年度特例要件を満たすことで、当該要件を満たすこととしている事業所等については、
令和９年３月末までに任用要件・賃金体系の整備、研修の実施等を行うことを誓約します。</t>
    <rPh sb="0" eb="2">
      <t>レイワ</t>
    </rPh>
    <rPh sb="3" eb="5">
      <t>ネンド</t>
    </rPh>
    <rPh sb="5" eb="7">
      <t>トクレイ</t>
    </rPh>
    <rPh sb="7" eb="9">
      <t>ヨウケン</t>
    </rPh>
    <rPh sb="10" eb="11">
      <t>ミ</t>
    </rPh>
    <rPh sb="17" eb="19">
      <t>トウガイ</t>
    </rPh>
    <rPh sb="19" eb="21">
      <t>ヨウケン</t>
    </rPh>
    <rPh sb="22" eb="23">
      <t>ミ</t>
    </rPh>
    <rPh sb="32" eb="35">
      <t>ジギョウショ</t>
    </rPh>
    <rPh sb="35" eb="36">
      <t>トウ</t>
    </rPh>
    <rPh sb="43" eb="45">
      <t>レイワ</t>
    </rPh>
    <rPh sb="46" eb="47">
      <t>ネン</t>
    </rPh>
    <rPh sb="48" eb="49">
      <t>ガツ</t>
    </rPh>
    <rPh sb="49" eb="50">
      <t>マツ</t>
    </rPh>
    <rPh sb="53" eb="55">
      <t>ニンヨウ</t>
    </rPh>
    <rPh sb="55" eb="57">
      <t>ヨウケン</t>
    </rPh>
    <rPh sb="58" eb="60">
      <t>チンギン</t>
    </rPh>
    <rPh sb="60" eb="62">
      <t>タイケイ</t>
    </rPh>
    <rPh sb="63" eb="65">
      <t>セイビ</t>
    </rPh>
    <rPh sb="66" eb="68">
      <t>ケンシュウ</t>
    </rPh>
    <rPh sb="69" eb="71">
      <t>ジッシ</t>
    </rPh>
    <rPh sb="71" eb="72">
      <t>トウ</t>
    </rPh>
    <rPh sb="73" eb="74">
      <t>オコナ</t>
    </rPh>
    <rPh sb="78" eb="80">
      <t>セイヤク</t>
    </rPh>
    <phoneticPr fontId="13"/>
  </si>
  <si>
    <t>（３）キャリアパス要件Ⅲ（昇給の仕組みの整備等）</t>
    <rPh sb="9" eb="11">
      <t>ヨウケン</t>
    </rPh>
    <rPh sb="13" eb="15">
      <t>ショウキュウ</t>
    </rPh>
    <rPh sb="16" eb="18">
      <t>シク</t>
    </rPh>
    <rPh sb="20" eb="22">
      <t>セイビ</t>
    </rPh>
    <rPh sb="22" eb="23">
      <t>トウ</t>
    </rPh>
    <phoneticPr fontId="13"/>
  </si>
  <si>
    <t>処遇改善加算Ⅰ・Ⅱ・Ⅲを算定する事業所数</t>
    <rPh sb="12" eb="14">
      <t>サンテイ</t>
    </rPh>
    <rPh sb="16" eb="19">
      <t>ジギョウショ</t>
    </rPh>
    <rPh sb="19" eb="20">
      <t>スウ</t>
    </rPh>
    <phoneticPr fontId="13"/>
  </si>
  <si>
    <t>令和８年度特例要件を満たすことで、当該要件を満たすこととしている場合、
令和９年３月末までに昇給の仕組みの整備を行うことを誓約します。</t>
    <rPh sb="0" eb="2">
      <t>レイワ</t>
    </rPh>
    <rPh sb="3" eb="5">
      <t>ネンド</t>
    </rPh>
    <rPh sb="5" eb="7">
      <t>トクレイ</t>
    </rPh>
    <rPh sb="7" eb="9">
      <t>ヨウケン</t>
    </rPh>
    <rPh sb="10" eb="11">
      <t>ミ</t>
    </rPh>
    <rPh sb="17" eb="19">
      <t>トウガイ</t>
    </rPh>
    <rPh sb="19" eb="21">
      <t>ヨウケン</t>
    </rPh>
    <rPh sb="22" eb="23">
      <t>ミ</t>
    </rPh>
    <rPh sb="32" eb="34">
      <t>バアイ</t>
    </rPh>
    <rPh sb="36" eb="38">
      <t>レイワ</t>
    </rPh>
    <rPh sb="39" eb="40">
      <t>ネン</t>
    </rPh>
    <rPh sb="41" eb="42">
      <t>ガツ</t>
    </rPh>
    <rPh sb="42" eb="43">
      <t>マツ</t>
    </rPh>
    <rPh sb="46" eb="48">
      <t>ショウキュウ</t>
    </rPh>
    <rPh sb="49" eb="51">
      <t>シク</t>
    </rPh>
    <rPh sb="53" eb="55">
      <t>セイビ</t>
    </rPh>
    <rPh sb="56" eb="57">
      <t>オコナ</t>
    </rPh>
    <rPh sb="61" eb="63">
      <t>セイヤク</t>
    </rPh>
    <phoneticPr fontId="13"/>
  </si>
  <si>
    <t>（４）キャリアパス要件Ⅳ（改善後の賃金要件）</t>
    <rPh sb="9" eb="11">
      <t>ヨウケン</t>
    </rPh>
    <phoneticPr fontId="13"/>
  </si>
  <si>
    <t>処遇改善加算Ⅰ・Ⅱを算定する事業所数</t>
    <rPh sb="10" eb="12">
      <t>サンテイ</t>
    </rPh>
    <rPh sb="14" eb="17">
      <t>ジギョウショ</t>
    </rPh>
    <rPh sb="17" eb="18">
      <t>スウ</t>
    </rPh>
    <phoneticPr fontId="13"/>
  </si>
  <si>
    <t>処遇改善加算Ⅰを算定する事業所数</t>
    <rPh sb="8" eb="10">
      <t>サンテイ</t>
    </rPh>
    <rPh sb="12" eb="15">
      <t>ジギョウショ</t>
    </rPh>
    <rPh sb="15" eb="16">
      <t>スウ</t>
    </rPh>
    <phoneticPr fontId="13"/>
  </si>
  <si>
    <t>（６）職場環境等要件</t>
    <phoneticPr fontId="13"/>
  </si>
  <si>
    <t>令和８年度特例要件を満たす。</t>
    <rPh sb="0" eb="2">
      <t>レイワ</t>
    </rPh>
    <rPh sb="3" eb="5">
      <t>ネンド</t>
    </rPh>
    <rPh sb="5" eb="7">
      <t>トクレイ</t>
    </rPh>
    <rPh sb="7" eb="9">
      <t>ヨウケン</t>
    </rPh>
    <rPh sb="10" eb="11">
      <t>ミ</t>
    </rPh>
    <phoneticPr fontId="13"/>
  </si>
  <si>
    <t>【４，５月は、処遇改善加算Ⅰ・Ⅱ、６月以降は処遇改善加算Ⅰイ、Ⅰロ、Ⅱイ、Ⅱロが対象】</t>
    <rPh sb="40" eb="42">
      <t>タイショウ</t>
    </rPh>
    <phoneticPr fontId="13"/>
  </si>
  <si>
    <t>⇒</t>
    <phoneticPr fontId="13"/>
  </si>
  <si>
    <t>区分</t>
    <rPh sb="0" eb="2">
      <t>クブン</t>
    </rPh>
    <phoneticPr fontId="13"/>
  </si>
  <si>
    <t>内容</t>
    <rPh sb="0" eb="2">
      <t>ナイヨウ</t>
    </rPh>
    <phoneticPr fontId="13"/>
  </si>
  <si>
    <t>選択項目数</t>
    <rPh sb="0" eb="2">
      <t>センタク</t>
    </rPh>
    <rPh sb="2" eb="5">
      <t>コウモクスウ</t>
    </rPh>
    <phoneticPr fontId="13"/>
  </si>
  <si>
    <t>入職促進に向けた取組</t>
    <phoneticPr fontId="13"/>
  </si>
  <si>
    <t>②事業者の共同による採用・人事ローテーション・研修のための制度構築</t>
    <phoneticPr fontId="13"/>
  </si>
  <si>
    <t>資質の向上やキャリアアップに
向けた支援</t>
    <phoneticPr fontId="13"/>
  </si>
  <si>
    <t>⑦エルダー・メンター（仕事やメンタル面のサポート等をする担当者）制度等導入</t>
    <phoneticPr fontId="13"/>
  </si>
  <si>
    <t>⑧上位者・担当者等によるキャリア面談など、キャリアアップ・働き方等に関する定期的な相談の機会の確保</t>
    <phoneticPr fontId="13"/>
  </si>
  <si>
    <t>両立支援
・
多様な
働き方の
推進</t>
    <phoneticPr fontId="13"/>
  </si>
  <si>
    <t>⑩職員の事情等の状況に応じた勤務シフトや短時間正規職員制度の導入、職員の希望に即した非正規職員から正規職員への転換の制度等の整備</t>
    <phoneticPr fontId="13"/>
  </si>
  <si>
    <t>腰痛を
含む
心身の
健康管理</t>
    <phoneticPr fontId="13"/>
  </si>
  <si>
    <t>生産性
向上のため
の取組</t>
    <phoneticPr fontId="13"/>
  </si>
  <si>
    <t>⑱現場の課題の見える化（課題の抽出、課題の構造化、業務時間調査の実施等）を実施している</t>
    <phoneticPr fontId="13"/>
  </si>
  <si>
    <t>⑲５S活動（業務管理の手法の１つ。整理・整頓・清掃・清潔・躾の頭文字をとったもの）等の実践による職場環境の整備を行っている</t>
    <phoneticPr fontId="13"/>
  </si>
  <si>
    <t>⑳業務手順書の作成や、記録・報告様式の工夫等による情報共有や作業負担の軽減を行っている</t>
    <phoneticPr fontId="13"/>
  </si>
  <si>
    <t>㉒介護ロボット（見守り支援、移乗支援、移動支援、排泄支援、入浴支援、介護業務支援等）又はインカム等の職員間の連絡調整の迅速化に資するICT機器（ビジネスチャットツール含む）の導入</t>
    <phoneticPr fontId="13"/>
  </si>
  <si>
    <t>㉔各種委員会の共同設置、各種指針・計画の共同策定、物品の共同購入等の事務処理部門の集約、共同で行うICTインフラの整備、人事管理システムや福利厚生システム等の共通化等、協働化を通じた職場環境の改善に向けた取組の実施</t>
    <phoneticPr fontId="13"/>
  </si>
  <si>
    <t>㉔の２　１法人あたり１の施設又は事業所のみを運営するような法人等の小規模事業者であり、㉔の取組を実施している。</t>
    <phoneticPr fontId="13"/>
  </si>
  <si>
    <t>やりがい
・
働きがい
の醸成</t>
    <phoneticPr fontId="13"/>
  </si>
  <si>
    <t>見える化要件　【４，５月は、処遇改善加算Ⅰ・Ⅱ、６月以降は処遇改善加算Ⅰイ、Ⅰロ、Ⅱイ、Ⅱロが対象】</t>
    <rPh sb="0" eb="1">
      <t>ミ</t>
    </rPh>
    <rPh sb="3" eb="4">
      <t>カ</t>
    </rPh>
    <rPh sb="4" eb="5">
      <t>ヨウ</t>
    </rPh>
    <phoneticPr fontId="13"/>
  </si>
  <si>
    <t>！実施する周知方法が選択されていません。</t>
    <rPh sb="10" eb="12">
      <t>センタク</t>
    </rPh>
    <phoneticPr fontId="13"/>
  </si>
  <si>
    <t>ホームページ
への掲載</t>
    <rPh sb="9" eb="11">
      <t>ケイサイ</t>
    </rPh>
    <phoneticPr fontId="13"/>
  </si>
  <si>
    <t>職場環境等要件の28項目のうち、実施する取組項目の自社のホームページへの掲載</t>
    <rPh sb="22" eb="24">
      <t>コウモク</t>
    </rPh>
    <rPh sb="25" eb="27">
      <t>ジシャ</t>
    </rPh>
    <rPh sb="36" eb="38">
      <t>ケイサイ</t>
    </rPh>
    <phoneticPr fontId="13"/>
  </si>
  <si>
    <t>４　要件を満たすことの確認・証明</t>
    <phoneticPr fontId="13"/>
  </si>
  <si>
    <t>以下の点を確認し、満たしている項目に全てチェック（✔）すること。</t>
    <phoneticPr fontId="13"/>
  </si>
  <si>
    <t>確認事項</t>
    <rPh sb="0" eb="2">
      <t>カクニン</t>
    </rPh>
    <rPh sb="2" eb="4">
      <t>ジコウ</t>
    </rPh>
    <phoneticPr fontId="13"/>
  </si>
  <si>
    <r>
      <t xml:space="preserve">証明する資料の例
</t>
    </r>
    <r>
      <rPr>
        <sz val="8"/>
        <color theme="1"/>
        <rFont val="ＭＳ Ｐゴシック"/>
        <family val="3"/>
        <charset val="128"/>
      </rPr>
      <t>（指定権者からの求めに応じて提出）</t>
    </r>
    <rPh sb="0" eb="2">
      <t>ショウメイ</t>
    </rPh>
    <rPh sb="4" eb="6">
      <t>シリョウ</t>
    </rPh>
    <rPh sb="7" eb="8">
      <t>レイ</t>
    </rPh>
    <rPh sb="10" eb="14">
      <t>シテイケンジャ</t>
    </rPh>
    <rPh sb="17" eb="18">
      <t>モト</t>
    </rPh>
    <rPh sb="20" eb="21">
      <t>オウ</t>
    </rPh>
    <rPh sb="23" eb="25">
      <t>テイシュツ</t>
    </rPh>
    <phoneticPr fontId="13"/>
  </si>
  <si>
    <t>！チェックボックスに必要なチェック（✔）が入っていない項目があります。</t>
    <rPh sb="10" eb="12">
      <t>ヒツヨウ</t>
    </rPh>
    <rPh sb="27" eb="29">
      <t>コウモク</t>
    </rPh>
    <phoneticPr fontId="13"/>
  </si>
  <si>
    <t>就業規則、給与規程、
給与明細等</t>
    <rPh sb="0" eb="2">
      <t>シュウギョウ</t>
    </rPh>
    <rPh sb="2" eb="4">
      <t>キソク</t>
    </rPh>
    <rPh sb="5" eb="7">
      <t>キュウヨ</t>
    </rPh>
    <rPh sb="7" eb="9">
      <t>キテイ</t>
    </rPh>
    <rPh sb="11" eb="13">
      <t>キュウヨ</t>
    </rPh>
    <rPh sb="13" eb="15">
      <t>メイサイ</t>
    </rPh>
    <rPh sb="15" eb="16">
      <t>トウ</t>
    </rPh>
    <phoneticPr fontId="13"/>
  </si>
  <si>
    <t>就業規則、給与規程、
資質向上のための計画等</t>
    <rPh sb="0" eb="2">
      <t>シュウギョウ</t>
    </rPh>
    <rPh sb="2" eb="4">
      <t>キソク</t>
    </rPh>
    <rPh sb="5" eb="7">
      <t>キュウヨ</t>
    </rPh>
    <rPh sb="7" eb="9">
      <t>キテイ</t>
    </rPh>
    <rPh sb="21" eb="22">
      <t>トウ</t>
    </rPh>
    <phoneticPr fontId="13"/>
  </si>
  <si>
    <t>労働基準法、労働災害補償保険法、最低賃金法、労働安全衛生法、雇用保険法その他の労働に関する法令に違反し、罰金以上の刑に処せられていません。</t>
    <rPh sb="0" eb="2">
      <t>ロウドウ</t>
    </rPh>
    <rPh sb="2" eb="5">
      <t>キジュンホウ</t>
    </rPh>
    <rPh sb="6" eb="8">
      <t>ロウドウ</t>
    </rPh>
    <rPh sb="8" eb="10">
      <t>サイガイ</t>
    </rPh>
    <rPh sb="10" eb="12">
      <t>ホショウ</t>
    </rPh>
    <rPh sb="12" eb="15">
      <t>ホケンホウ</t>
    </rPh>
    <rPh sb="16" eb="18">
      <t>サイテイ</t>
    </rPh>
    <rPh sb="18" eb="21">
      <t>チンギンホウ</t>
    </rPh>
    <rPh sb="22" eb="24">
      <t>ロウドウ</t>
    </rPh>
    <rPh sb="24" eb="26">
      <t>アンゼン</t>
    </rPh>
    <rPh sb="26" eb="29">
      <t>エイセイホウ</t>
    </rPh>
    <rPh sb="30" eb="32">
      <t>コヨウ</t>
    </rPh>
    <rPh sb="32" eb="35">
      <t>ホケンホウ</t>
    </rPh>
    <rPh sb="37" eb="38">
      <t>タ</t>
    </rPh>
    <rPh sb="39" eb="41">
      <t>ロウドウ</t>
    </rPh>
    <rPh sb="42" eb="43">
      <t>カン</t>
    </rPh>
    <rPh sb="45" eb="47">
      <t>ホウレイ</t>
    </rPh>
    <rPh sb="48" eb="50">
      <t>イハン</t>
    </rPh>
    <rPh sb="52" eb="54">
      <t>バッキン</t>
    </rPh>
    <rPh sb="54" eb="56">
      <t>イジョウ</t>
    </rPh>
    <rPh sb="57" eb="58">
      <t>ケイ</t>
    </rPh>
    <rPh sb="59" eb="60">
      <t>ショ</t>
    </rPh>
    <phoneticPr fontId="13"/>
  </si>
  <si>
    <t>―</t>
    <phoneticPr fontId="13"/>
  </si>
  <si>
    <t>労働保険料の納付が適正に行われています。</t>
    <rPh sb="0" eb="2">
      <t>ロウドウ</t>
    </rPh>
    <rPh sb="2" eb="5">
      <t>ホケンリョウ</t>
    </rPh>
    <rPh sb="6" eb="8">
      <t>ノウフ</t>
    </rPh>
    <rPh sb="9" eb="11">
      <t>テキセイ</t>
    </rPh>
    <rPh sb="12" eb="13">
      <t>オコナ</t>
    </rPh>
    <phoneticPr fontId="13"/>
  </si>
  <si>
    <t>労働保険関係成立届、
確定保険料申告書</t>
    <rPh sb="0" eb="2">
      <t>ロウドウ</t>
    </rPh>
    <rPh sb="2" eb="4">
      <t>ホケン</t>
    </rPh>
    <rPh sb="4" eb="6">
      <t>カンケイ</t>
    </rPh>
    <rPh sb="6" eb="8">
      <t>セイリツ</t>
    </rPh>
    <rPh sb="8" eb="9">
      <t>トド</t>
    </rPh>
    <rPh sb="11" eb="13">
      <t>カクテイ</t>
    </rPh>
    <rPh sb="13" eb="16">
      <t>ホケンリョウ</t>
    </rPh>
    <rPh sb="16" eb="19">
      <t>シンコクショ</t>
    </rPh>
    <phoneticPr fontId="13"/>
  </si>
  <si>
    <t>本計画書の内容及び賃金改善の方法を雇用する全ての職員に対して周知しました。</t>
    <rPh sb="0" eb="1">
      <t>ホン</t>
    </rPh>
    <rPh sb="1" eb="4">
      <t>ケイカクショ</t>
    </rPh>
    <rPh sb="5" eb="7">
      <t>ナイヨウ</t>
    </rPh>
    <rPh sb="7" eb="8">
      <t>オヨ</t>
    </rPh>
    <rPh sb="9" eb="13">
      <t>チンギンカイゼン</t>
    </rPh>
    <rPh sb="14" eb="16">
      <t>ホウホウ</t>
    </rPh>
    <rPh sb="17" eb="19">
      <t>コヨウ</t>
    </rPh>
    <rPh sb="21" eb="22">
      <t>スベ</t>
    </rPh>
    <rPh sb="24" eb="26">
      <t>ショクイン</t>
    </rPh>
    <rPh sb="27" eb="28">
      <t>タイ</t>
    </rPh>
    <rPh sb="30" eb="32">
      <t>シュウチ</t>
    </rPh>
    <phoneticPr fontId="13"/>
  </si>
  <si>
    <t>会議録、周知文書</t>
    <rPh sb="0" eb="3">
      <t>カイギロク</t>
    </rPh>
    <rPh sb="4" eb="6">
      <t>シュウチ</t>
    </rPh>
    <rPh sb="6" eb="8">
      <t>ブンショ</t>
    </rPh>
    <phoneticPr fontId="13"/>
  </si>
  <si>
    <t xml:space="preserve">指定権者のホームページ等で申請先を確認しており、処遇改善加算の提出先として案内のあった申請先に提出します。																							</t>
    <rPh sb="0" eb="4">
      <t>シテイケンジャ</t>
    </rPh>
    <rPh sb="24" eb="26">
      <t>ショグウ</t>
    </rPh>
    <rPh sb="26" eb="28">
      <t>カイゼン</t>
    </rPh>
    <rPh sb="28" eb="30">
      <t>カサン</t>
    </rPh>
    <rPh sb="31" eb="33">
      <t>テイシュツ</t>
    </rPh>
    <rPh sb="33" eb="34">
      <t>サキ</t>
    </rPh>
    <phoneticPr fontId="13"/>
  </si>
  <si>
    <t>※</t>
    <phoneticPr fontId="13"/>
  </si>
  <si>
    <t>各証明資料は、指定権者からの求めがあった場合には、速やかに提出すること。</t>
    <phoneticPr fontId="13"/>
  </si>
  <si>
    <t>本処遇改善計画書の記載内容・確認事項の内容に間違いがないこと及び
記載内容を証明する資料を適切に保管することを誓約します。</t>
    <rPh sb="0" eb="1">
      <t>ホン</t>
    </rPh>
    <rPh sb="1" eb="3">
      <t>ショグウ</t>
    </rPh>
    <rPh sb="3" eb="5">
      <t>カイゼン</t>
    </rPh>
    <rPh sb="5" eb="8">
      <t>ケイカクショ</t>
    </rPh>
    <rPh sb="30" eb="31">
      <t>オヨ</t>
    </rPh>
    <phoneticPr fontId="13"/>
  </si>
  <si>
    <t>令和</t>
    <rPh sb="0" eb="2">
      <t>レイワ</t>
    </rPh>
    <phoneticPr fontId="13"/>
  </si>
  <si>
    <t>年</t>
    <rPh sb="0" eb="1">
      <t>ネン</t>
    </rPh>
    <phoneticPr fontId="13"/>
  </si>
  <si>
    <t>月</t>
    <rPh sb="0" eb="1">
      <t>ゲツ</t>
    </rPh>
    <phoneticPr fontId="13"/>
  </si>
  <si>
    <t>日</t>
    <rPh sb="0" eb="1">
      <t>ニチ</t>
    </rPh>
    <phoneticPr fontId="13"/>
  </si>
  <si>
    <t>代表者</t>
    <rPh sb="0" eb="3">
      <t>ダイヒョウシャ</t>
    </rPh>
    <phoneticPr fontId="13"/>
  </si>
  <si>
    <t>（確認用）</t>
    <rPh sb="1" eb="4">
      <t>カクニンヨウ</t>
    </rPh>
    <phoneticPr fontId="13"/>
  </si>
  <si>
    <t>提出前のチェックリスト</t>
    <rPh sb="0" eb="2">
      <t>テイシュツ</t>
    </rPh>
    <rPh sb="2" eb="3">
      <t>マエ</t>
    </rPh>
    <phoneticPr fontId="13"/>
  </si>
  <si>
    <t>以下の項目にオレンジ色の「×」がないか、提出前に確認すること。「×」がある場合、当該項目の記載を修正すること。</t>
    <rPh sb="10" eb="11">
      <t>イロ</t>
    </rPh>
    <phoneticPr fontId="13"/>
  </si>
  <si>
    <t>空欄が表示される項目は、記入が不要であるため対応する必要はない。</t>
    <phoneticPr fontId="13"/>
  </si>
  <si>
    <t>２　賃金改善計画について</t>
    <rPh sb="2" eb="4">
      <t>チンギン</t>
    </rPh>
    <rPh sb="4" eb="6">
      <t>カイゼン</t>
    </rPh>
    <rPh sb="6" eb="8">
      <t>ケイカク</t>
    </rPh>
    <phoneticPr fontId="13"/>
  </si>
  <si>
    <t>（１）</t>
    <phoneticPr fontId="13"/>
  </si>
  <si>
    <t>月額賃金改善要件</t>
    <phoneticPr fontId="13"/>
  </si>
  <si>
    <t>処遇改善加算Ⅳの1/2以上の月額賃金改善を行う計画になっていること</t>
    <rPh sb="21" eb="22">
      <t>オコナ</t>
    </rPh>
    <rPh sb="23" eb="25">
      <t>ケイカク</t>
    </rPh>
    <phoneticPr fontId="13"/>
  </si>
  <si>
    <t>（２）</t>
    <phoneticPr fontId="13"/>
  </si>
  <si>
    <t>キャリアパス要件Ⅰ・Ⅱ</t>
    <phoneticPr fontId="13"/>
  </si>
  <si>
    <t>キャリアパス要件Ⅰ（任用要件・賃金体系の整備等）とキャリアパス要件Ⅱ（研修の実施等）の両方を満たすこと。ただし、満たさない場合は、令和８年度特例要件を満たすこと。</t>
    <rPh sb="43" eb="45">
      <t>リョウホウ</t>
    </rPh>
    <rPh sb="46" eb="47">
      <t>ミ</t>
    </rPh>
    <rPh sb="56" eb="57">
      <t>ミ</t>
    </rPh>
    <rPh sb="61" eb="63">
      <t>バアイ</t>
    </rPh>
    <rPh sb="65" eb="67">
      <t>レイワ</t>
    </rPh>
    <rPh sb="68" eb="70">
      <t>ネンド</t>
    </rPh>
    <rPh sb="70" eb="72">
      <t>トクレイ</t>
    </rPh>
    <rPh sb="72" eb="74">
      <t>ヨウケン</t>
    </rPh>
    <rPh sb="75" eb="76">
      <t>ミ</t>
    </rPh>
    <phoneticPr fontId="13"/>
  </si>
  <si>
    <t>（３）</t>
    <phoneticPr fontId="13"/>
  </si>
  <si>
    <t>キャリアパス要件Ⅲ</t>
    <phoneticPr fontId="13"/>
  </si>
  <si>
    <t>キャリアパス要件Ⅲ（昇給の仕組みの整備等）を満たすこと。ただし、満たさない場合は、令和８年度特例要件を満たすこと。</t>
    <rPh sb="22" eb="23">
      <t>ミ</t>
    </rPh>
    <phoneticPr fontId="13"/>
  </si>
  <si>
    <t>（４）</t>
    <phoneticPr fontId="13"/>
  </si>
  <si>
    <t>キャリアパス要件Ⅳ</t>
    <phoneticPr fontId="13"/>
  </si>
  <si>
    <t>（５）</t>
    <phoneticPr fontId="13"/>
  </si>
  <si>
    <t>キャリアパス要件Ⅴ</t>
    <phoneticPr fontId="13"/>
  </si>
  <si>
    <t>（６）</t>
    <phoneticPr fontId="13"/>
  </si>
  <si>
    <t>職場環境等要件</t>
    <phoneticPr fontId="13"/>
  </si>
  <si>
    <t>（７）</t>
    <phoneticPr fontId="13"/>
  </si>
  <si>
    <t>令和８年度特例要件</t>
    <rPh sb="0" eb="2">
      <t>レイワ</t>
    </rPh>
    <rPh sb="3" eb="5">
      <t>ネンド</t>
    </rPh>
    <rPh sb="5" eb="7">
      <t>トクレイ</t>
    </rPh>
    <rPh sb="7" eb="9">
      <t>ヨウケン</t>
    </rPh>
    <phoneticPr fontId="13"/>
  </si>
  <si>
    <t>生産性向上や協働化の取組を行っていること</t>
    <rPh sb="10" eb="12">
      <t>トリクミ</t>
    </rPh>
    <rPh sb="13" eb="14">
      <t>オコナ</t>
    </rPh>
    <phoneticPr fontId="13"/>
  </si>
  <si>
    <t>４　要件を満たすことの確認・証明</t>
    <rPh sb="2" eb="4">
      <t>ヨウケン</t>
    </rPh>
    <rPh sb="5" eb="6">
      <t>ミ</t>
    </rPh>
    <rPh sb="11" eb="13">
      <t>カクニン</t>
    </rPh>
    <rPh sb="14" eb="16">
      <t>ショウメイ</t>
    </rPh>
    <phoneticPr fontId="13"/>
  </si>
  <si>
    <t xml:space="preserve"> 必要な項目が全て選択されていること</t>
    <rPh sb="1" eb="3">
      <t>ヒツヨウ</t>
    </rPh>
    <rPh sb="4" eb="6">
      <t>コウモク</t>
    </rPh>
    <rPh sb="7" eb="8">
      <t>スベ</t>
    </rPh>
    <rPh sb="9" eb="11">
      <t>センタク</t>
    </rPh>
    <phoneticPr fontId="13"/>
  </si>
  <si>
    <t xml:space="preserve"> 誓約・記名が行われていること</t>
    <rPh sb="1" eb="3">
      <t>セイヤク</t>
    </rPh>
    <rPh sb="4" eb="6">
      <t>キメイ</t>
    </rPh>
    <rPh sb="7" eb="8">
      <t>オコナ</t>
    </rPh>
    <phoneticPr fontId="13"/>
  </si>
  <si>
    <t>別紙様式２－２（個票（４、５月））</t>
    <rPh sb="0" eb="2">
      <t>ベッシ</t>
    </rPh>
    <rPh sb="2" eb="4">
      <t>ヨウシキ</t>
    </rPh>
    <rPh sb="8" eb="10">
      <t>コヒョウ</t>
    </rPh>
    <rPh sb="14" eb="15">
      <t>ガツ</t>
    </rPh>
    <phoneticPr fontId="13"/>
  </si>
  <si>
    <t xml:space="preserve"> 処遇改善加算（見込額）の合計［円］
　（別紙様式2-1 2　①の内数）</t>
    <rPh sb="1" eb="3">
      <t>ショグウ</t>
    </rPh>
    <rPh sb="3" eb="5">
      <t>カイゼン</t>
    </rPh>
    <rPh sb="5" eb="7">
      <t>カサン</t>
    </rPh>
    <rPh sb="8" eb="10">
      <t>ミコ</t>
    </rPh>
    <rPh sb="10" eb="11">
      <t>ガク</t>
    </rPh>
    <rPh sb="13" eb="15">
      <t>ゴウケイ</t>
    </rPh>
    <rPh sb="16" eb="17">
      <t>エン</t>
    </rPh>
    <rPh sb="33" eb="35">
      <t>ウチスウ</t>
    </rPh>
    <phoneticPr fontId="13"/>
  </si>
  <si>
    <t>　うち、処遇改善加算Ⅳ相当の１／２（見込額）の合計［円］
  （別紙様式2-1 3(1)①の内数）</t>
    <rPh sb="4" eb="6">
      <t>ショグウ</t>
    </rPh>
    <rPh sb="6" eb="8">
      <t>カイゼン</t>
    </rPh>
    <rPh sb="8" eb="10">
      <t>カサン</t>
    </rPh>
    <rPh sb="11" eb="13">
      <t>ソウトウ</t>
    </rPh>
    <rPh sb="18" eb="20">
      <t>ミコ</t>
    </rPh>
    <rPh sb="20" eb="21">
      <t>ガク</t>
    </rPh>
    <rPh sb="23" eb="25">
      <t>ゴウケイ</t>
    </rPh>
    <rPh sb="26" eb="27">
      <t>エン</t>
    </rPh>
    <rPh sb="46" eb="48">
      <t>ウチスウ</t>
    </rPh>
    <phoneticPr fontId="13"/>
  </si>
  <si>
    <t>事業所名</t>
    <rPh sb="0" eb="3">
      <t>ジギョウショ</t>
    </rPh>
    <rPh sb="3" eb="4">
      <t>メイ</t>
    </rPh>
    <phoneticPr fontId="13"/>
  </si>
  <si>
    <t>令和８年４・５月に
算定する処遇改善加算の区分</t>
    <rPh sb="0" eb="2">
      <t>レイワ</t>
    </rPh>
    <rPh sb="3" eb="4">
      <t>ネン</t>
    </rPh>
    <rPh sb="7" eb="8">
      <t>ガツ</t>
    </rPh>
    <rPh sb="10" eb="12">
      <t>サンテイ</t>
    </rPh>
    <rPh sb="21" eb="23">
      <t>クブン</t>
    </rPh>
    <phoneticPr fontId="13"/>
  </si>
  <si>
    <t>①月額賃金要件</t>
    <rPh sb="1" eb="3">
      <t>ゲツガク</t>
    </rPh>
    <rPh sb="3" eb="5">
      <t>チンギン</t>
    </rPh>
    <rPh sb="5" eb="7">
      <t>ヨウケン</t>
    </rPh>
    <phoneticPr fontId="13"/>
  </si>
  <si>
    <t>②・③キャリアパス要件Ⅰ・Ⅱ</t>
    <phoneticPr fontId="13"/>
  </si>
  <si>
    <t>④キャリアパス要件Ⅲ</t>
    <rPh sb="7" eb="9">
      <t>ヨウケン</t>
    </rPh>
    <phoneticPr fontId="3"/>
  </si>
  <si>
    <t>⑤キャリアパス要件Ⅳ</t>
    <rPh sb="7" eb="9">
      <t>ヨウケン</t>
    </rPh>
    <phoneticPr fontId="3"/>
  </si>
  <si>
    <t>⑥キャリアパス要件Ⅴ</t>
    <phoneticPr fontId="13"/>
  </si>
  <si>
    <t>⑦令和８年度
特例要件</t>
    <rPh sb="1" eb="3">
      <t>レイワ</t>
    </rPh>
    <rPh sb="4" eb="6">
      <t>ネンド</t>
    </rPh>
    <rPh sb="7" eb="9">
      <t>トクレイ</t>
    </rPh>
    <rPh sb="9" eb="11">
      <t>ヨウケン</t>
    </rPh>
    <phoneticPr fontId="13"/>
  </si>
  <si>
    <t>（判定用参考式）</t>
    <rPh sb="1" eb="4">
      <t>ハンテイヨウ</t>
    </rPh>
    <rPh sb="4" eb="6">
      <t>サンコウ</t>
    </rPh>
    <rPh sb="6" eb="7">
      <t>シキ</t>
    </rPh>
    <phoneticPr fontId="13"/>
  </si>
  <si>
    <t>都道
府県</t>
    <rPh sb="0" eb="2">
      <t>トドウ</t>
    </rPh>
    <rPh sb="3" eb="5">
      <t>フケン</t>
    </rPh>
    <phoneticPr fontId="13"/>
  </si>
  <si>
    <t>市区
町村</t>
    <rPh sb="0" eb="2">
      <t>シク</t>
    </rPh>
    <rPh sb="3" eb="5">
      <t>チョウソン</t>
    </rPh>
    <phoneticPr fontId="13"/>
  </si>
  <si>
    <t>処遇改善加算Ⅳ相当の加算額の見込額の
１／２</t>
    <rPh sb="7" eb="9">
      <t>ソウトウ</t>
    </rPh>
    <rPh sb="10" eb="13">
      <t>カサンガク</t>
    </rPh>
    <rPh sb="14" eb="16">
      <t>ミコミ</t>
    </rPh>
    <rPh sb="16" eb="17">
      <t>ガク</t>
    </rPh>
    <phoneticPr fontId="13"/>
  </si>
  <si>
    <t>任用要件・賃金体系の整備等、研修の実施等</t>
    <rPh sb="0" eb="2">
      <t>ニンヨウ</t>
    </rPh>
    <rPh sb="2" eb="4">
      <t>ヨウケン</t>
    </rPh>
    <rPh sb="5" eb="7">
      <t>チンギン</t>
    </rPh>
    <rPh sb="7" eb="9">
      <t>タイケイ</t>
    </rPh>
    <rPh sb="10" eb="12">
      <t>セイビ</t>
    </rPh>
    <rPh sb="12" eb="13">
      <t>トウ</t>
    </rPh>
    <phoneticPr fontId="13"/>
  </si>
  <si>
    <t>昇給の仕組みの
整備等</t>
    <phoneticPr fontId="13"/>
  </si>
  <si>
    <t>記入上の注意</t>
    <rPh sb="0" eb="2">
      <t>キニュウ</t>
    </rPh>
    <rPh sb="2" eb="3">
      <t>ジョウ</t>
    </rPh>
    <rPh sb="4" eb="6">
      <t>チュウイ</t>
    </rPh>
    <phoneticPr fontId="13"/>
  </si>
  <si>
    <t>処遇改善加算対象サービス</t>
    <rPh sb="0" eb="4">
      <t>ショグウカイゼン</t>
    </rPh>
    <rPh sb="4" eb="6">
      <t>カサン</t>
    </rPh>
    <rPh sb="6" eb="8">
      <t>タイショウ</t>
    </rPh>
    <phoneticPr fontId="13"/>
  </si>
  <si>
    <t>「算定する処遇改善加算の区分」の色付け用（入力要否の判定用）</t>
    <rPh sb="1" eb="3">
      <t>サンテイ</t>
    </rPh>
    <rPh sb="12" eb="14">
      <t>クブン</t>
    </rPh>
    <rPh sb="16" eb="17">
      <t>イロ</t>
    </rPh>
    <rPh sb="17" eb="18">
      <t>ヅ</t>
    </rPh>
    <rPh sb="19" eb="20">
      <t>ヨウ</t>
    </rPh>
    <rPh sb="21" eb="23">
      <t>ニュウリョク</t>
    </rPh>
    <rPh sb="23" eb="25">
      <t>ヨウヒ</t>
    </rPh>
    <rPh sb="26" eb="29">
      <t>ハンテイヨウ</t>
    </rPh>
    <phoneticPr fontId="13"/>
  </si>
  <si>
    <t>①の記入状況チェック</t>
    <rPh sb="2" eb="4">
      <t>キニュウ</t>
    </rPh>
    <rPh sb="4" eb="6">
      <t>ジョウキョウ</t>
    </rPh>
    <phoneticPr fontId="13"/>
  </si>
  <si>
    <t>②・③の記入状況チェック</t>
    <rPh sb="4" eb="6">
      <t>キニュウ</t>
    </rPh>
    <rPh sb="6" eb="8">
      <t>ジョウキョウ</t>
    </rPh>
    <phoneticPr fontId="13"/>
  </si>
  <si>
    <t>④の色付け用（入力要否の判定用）</t>
    <rPh sb="2" eb="3">
      <t>イロ</t>
    </rPh>
    <rPh sb="3" eb="4">
      <t>ヅ</t>
    </rPh>
    <rPh sb="5" eb="6">
      <t>ヨウ</t>
    </rPh>
    <rPh sb="7" eb="9">
      <t>ニュウリョク</t>
    </rPh>
    <rPh sb="9" eb="11">
      <t>ヨウヒ</t>
    </rPh>
    <rPh sb="12" eb="15">
      <t>ハンテイヨウ</t>
    </rPh>
    <phoneticPr fontId="13"/>
  </si>
  <si>
    <t>④の記入状況チェック</t>
    <rPh sb="2" eb="4">
      <t>キニュウ</t>
    </rPh>
    <rPh sb="4" eb="6">
      <t>ジョウキョウ</t>
    </rPh>
    <phoneticPr fontId="13"/>
  </si>
  <si>
    <t>⑤の必要数チェック（併設の場合０）</t>
    <rPh sb="2" eb="4">
      <t>ヒツヨウ</t>
    </rPh>
    <rPh sb="4" eb="5">
      <t>スウ</t>
    </rPh>
    <rPh sb="10" eb="12">
      <t>ヘイセツ</t>
    </rPh>
    <rPh sb="13" eb="15">
      <t>バアイ</t>
    </rPh>
    <phoneticPr fontId="13"/>
  </si>
  <si>
    <t>⑤の色付け用（入力要否の判定用）※令和８年度特例要件</t>
    <rPh sb="2" eb="3">
      <t>イロ</t>
    </rPh>
    <rPh sb="3" eb="4">
      <t>ヅ</t>
    </rPh>
    <rPh sb="5" eb="6">
      <t>ヨウ</t>
    </rPh>
    <rPh sb="7" eb="9">
      <t>ニュウリョク</t>
    </rPh>
    <rPh sb="9" eb="11">
      <t>ヨウヒ</t>
    </rPh>
    <rPh sb="12" eb="15">
      <t>ハンテイヨウ</t>
    </rPh>
    <rPh sb="17" eb="19">
      <t>レイワ</t>
    </rPh>
    <rPh sb="20" eb="22">
      <t>ネンド</t>
    </rPh>
    <rPh sb="22" eb="24">
      <t>トクレイ</t>
    </rPh>
    <rPh sb="24" eb="26">
      <t>ヨウケン</t>
    </rPh>
    <phoneticPr fontId="13"/>
  </si>
  <si>
    <t>⑥関数用サービスコード</t>
    <rPh sb="1" eb="3">
      <t>カンスウ</t>
    </rPh>
    <rPh sb="3" eb="4">
      <t>ヨウ</t>
    </rPh>
    <phoneticPr fontId="13"/>
  </si>
  <si>
    <t>⑥の色付け用（入力要否の判定用）</t>
    <rPh sb="2" eb="3">
      <t>イロ</t>
    </rPh>
    <rPh sb="3" eb="4">
      <t>ヅ</t>
    </rPh>
    <rPh sb="5" eb="6">
      <t>ヨウ</t>
    </rPh>
    <rPh sb="7" eb="9">
      <t>ニュウリョク</t>
    </rPh>
    <rPh sb="9" eb="11">
      <t>ヨウヒ</t>
    </rPh>
    <rPh sb="12" eb="15">
      <t>ハンテイヨウ</t>
    </rPh>
    <phoneticPr fontId="13"/>
  </si>
  <si>
    <t>⑥の記入状況チェック</t>
    <rPh sb="2" eb="4">
      <t>キニュウ</t>
    </rPh>
    <rPh sb="4" eb="6">
      <t>ジョウキョウ</t>
    </rPh>
    <phoneticPr fontId="13"/>
  </si>
  <si>
    <t>⑦関数用サービスコード</t>
    <rPh sb="1" eb="3">
      <t>カンスウ</t>
    </rPh>
    <rPh sb="3" eb="4">
      <t>ヨウ</t>
    </rPh>
    <phoneticPr fontId="13"/>
  </si>
  <si>
    <t>⑦の色付け用（入力要否の判定用）</t>
    <rPh sb="2" eb="3">
      <t>イロ</t>
    </rPh>
    <rPh sb="3" eb="4">
      <t>ヅ</t>
    </rPh>
    <rPh sb="5" eb="6">
      <t>ヨウ</t>
    </rPh>
    <rPh sb="7" eb="9">
      <t>ニュウリョク</t>
    </rPh>
    <rPh sb="9" eb="11">
      <t>ヨウヒ</t>
    </rPh>
    <rPh sb="12" eb="15">
      <t>ハンテイヨウ</t>
    </rPh>
    <phoneticPr fontId="13"/>
  </si>
  <si>
    <t>⑦の記入状況チェック</t>
    <rPh sb="2" eb="4">
      <t>キニュウ</t>
    </rPh>
    <rPh sb="4" eb="6">
      <t>ジョウキョウ</t>
    </rPh>
    <phoneticPr fontId="13"/>
  </si>
  <si>
    <t>（指定権者ソート用）</t>
    <rPh sb="1" eb="5">
      <t>シテイケンジャ</t>
    </rPh>
    <phoneticPr fontId="13"/>
  </si>
  <si>
    <t>処遇改善加算Ⅰ</t>
  </si>
  <si>
    <t>年</t>
    <phoneticPr fontId="13"/>
  </si>
  <si>
    <t>月～令和</t>
    <rPh sb="0" eb="1">
      <t>ツキ</t>
    </rPh>
    <rPh sb="2" eb="4">
      <t>レイワ</t>
    </rPh>
    <phoneticPr fontId="13"/>
  </si>
  <si>
    <t>月</t>
    <rPh sb="0" eb="1">
      <t>ツキ</t>
    </rPh>
    <phoneticPr fontId="13"/>
  </si>
  <si>
    <t>（</t>
    <phoneticPr fontId="13"/>
  </si>
  <si>
    <t>ヶ月）</t>
    <rPh sb="1" eb="2">
      <t>ゲツ</t>
    </rPh>
    <phoneticPr fontId="13"/>
  </si>
  <si>
    <t>○</t>
    <phoneticPr fontId="13"/>
  </si>
  <si>
    <t>令和８年度特例要件を満たす</t>
    <rPh sb="0" eb="2">
      <t>レイワ</t>
    </rPh>
    <rPh sb="3" eb="5">
      <t>ネンド</t>
    </rPh>
    <rPh sb="5" eb="7">
      <t>トクレイ</t>
    </rPh>
    <rPh sb="7" eb="9">
      <t>ヨウケン</t>
    </rPh>
    <rPh sb="10" eb="11">
      <t>ミ</t>
    </rPh>
    <phoneticPr fontId="13"/>
  </si>
  <si>
    <t>別紙様式２－３（個票（６月以降））</t>
    <rPh sb="0" eb="2">
      <t>ベッシ</t>
    </rPh>
    <rPh sb="2" eb="4">
      <t>ヨウシキ</t>
    </rPh>
    <rPh sb="8" eb="10">
      <t>コヒョウ</t>
    </rPh>
    <rPh sb="12" eb="13">
      <t>ガツ</t>
    </rPh>
    <rPh sb="13" eb="15">
      <t>イコウ</t>
    </rPh>
    <phoneticPr fontId="13"/>
  </si>
  <si>
    <t>合計</t>
    <rPh sb="0" eb="2">
      <t>ゴウケイ</t>
    </rPh>
    <phoneticPr fontId="13"/>
  </si>
  <si>
    <t>全サービス</t>
    <rPh sb="0" eb="1">
      <t>ゼン</t>
    </rPh>
    <phoneticPr fontId="13"/>
  </si>
  <si>
    <t>令和８年６月以降に
算定する処遇改善加算の区分</t>
    <rPh sb="0" eb="2">
      <t>レイワ</t>
    </rPh>
    <rPh sb="3" eb="4">
      <t>ネン</t>
    </rPh>
    <rPh sb="5" eb="6">
      <t>ガツ</t>
    </rPh>
    <rPh sb="6" eb="8">
      <t>イコウ</t>
    </rPh>
    <rPh sb="10" eb="12">
      <t>サンテイ</t>
    </rPh>
    <rPh sb="21" eb="23">
      <t>クブン</t>
    </rPh>
    <phoneticPr fontId="13"/>
  </si>
  <si>
    <t>４、５月時点の処遇改善加算対象サービス</t>
    <rPh sb="3" eb="4">
      <t>ガツ</t>
    </rPh>
    <rPh sb="4" eb="6">
      <t>ジテン</t>
    </rPh>
    <phoneticPr fontId="13"/>
  </si>
  <si>
    <t>②・③の選択肢</t>
    <rPh sb="4" eb="7">
      <t>センタクシ</t>
    </rPh>
    <phoneticPr fontId="13"/>
  </si>
  <si>
    <t>処遇改善加算Ⅲ</t>
  </si>
  <si>
    <t>処遇改善加算</t>
    <rPh sb="0" eb="4">
      <t>ショグウカイゼン</t>
    </rPh>
    <rPh sb="4" eb="6">
      <t>カサン</t>
    </rPh>
    <phoneticPr fontId="13"/>
  </si>
  <si>
    <t>参考１ （ア）・（イ）（任用要件・賃金体系の整備等、研修の実施等）の概要</t>
    <rPh sb="0" eb="2">
      <t>サンコウ</t>
    </rPh>
    <rPh sb="34" eb="36">
      <t>ガイヨウ</t>
    </rPh>
    <phoneticPr fontId="13"/>
  </si>
  <si>
    <t>（ア）任用要件・賃金体系の整備等</t>
    <rPh sb="3" eb="5">
      <t>ニンヨウ</t>
    </rPh>
    <rPh sb="5" eb="7">
      <t>ヨウケン</t>
    </rPh>
    <phoneticPr fontId="13"/>
  </si>
  <si>
    <t>基準を満たしている又は遅くとも実績報告書の提出までに次の一から三までのすべての基準を満たす。</t>
    <rPh sb="0" eb="2">
      <t>キジュン</t>
    </rPh>
    <rPh sb="3" eb="4">
      <t>ミ</t>
    </rPh>
    <rPh sb="9" eb="10">
      <t>マタ</t>
    </rPh>
    <rPh sb="11" eb="12">
      <t>オソ</t>
    </rPh>
    <rPh sb="15" eb="17">
      <t>ジッセキ</t>
    </rPh>
    <rPh sb="17" eb="20">
      <t>ホウコクショ</t>
    </rPh>
    <rPh sb="21" eb="23">
      <t>テイシュツ</t>
    </rPh>
    <rPh sb="28" eb="29">
      <t>イチ</t>
    </rPh>
    <rPh sb="31" eb="32">
      <t>サン</t>
    </rPh>
    <rPh sb="39" eb="41">
      <t>キジュン</t>
    </rPh>
    <phoneticPr fontId="13"/>
  </si>
  <si>
    <t>一</t>
    <rPh sb="0" eb="1">
      <t>イチ</t>
    </rPh>
    <phoneticPr fontId="13"/>
  </si>
  <si>
    <t>職員の任用における職位、職責又は職務内容等の要件を定めている。</t>
    <rPh sb="0" eb="2">
      <t>ショクイン</t>
    </rPh>
    <rPh sb="3" eb="5">
      <t>ニンヨウ</t>
    </rPh>
    <phoneticPr fontId="13"/>
  </si>
  <si>
    <t>二</t>
    <rPh sb="0" eb="1">
      <t>ニ</t>
    </rPh>
    <phoneticPr fontId="13"/>
  </si>
  <si>
    <t>二に掲げる職位、職責又は職務内容等に応じた賃金体系を定めている。</t>
    <rPh sb="0" eb="1">
      <t>ニ</t>
    </rPh>
    <rPh sb="2" eb="3">
      <t>カカ</t>
    </rPh>
    <phoneticPr fontId="13"/>
  </si>
  <si>
    <t>三</t>
    <rPh sb="0" eb="1">
      <t>サン</t>
    </rPh>
    <phoneticPr fontId="13"/>
  </si>
  <si>
    <t>一及び二について、就業規則等の明確な根拠規定を書面で整備し、全ての職員に周知している。</t>
    <rPh sb="0" eb="1">
      <t>イチ</t>
    </rPh>
    <rPh sb="1" eb="2">
      <t>オヨ</t>
    </rPh>
    <rPh sb="3" eb="4">
      <t>ニ</t>
    </rPh>
    <rPh sb="9" eb="11">
      <t>シュウギョウ</t>
    </rPh>
    <rPh sb="11" eb="13">
      <t>キソク</t>
    </rPh>
    <rPh sb="13" eb="14">
      <t>トウ</t>
    </rPh>
    <rPh sb="15" eb="17">
      <t>メイカク</t>
    </rPh>
    <rPh sb="18" eb="20">
      <t>コンキョ</t>
    </rPh>
    <rPh sb="20" eb="22">
      <t>キテイ</t>
    </rPh>
    <rPh sb="23" eb="25">
      <t>ショメン</t>
    </rPh>
    <rPh sb="26" eb="28">
      <t>セイビ</t>
    </rPh>
    <rPh sb="30" eb="31">
      <t>スベ</t>
    </rPh>
    <phoneticPr fontId="13"/>
  </si>
  <si>
    <t>（イ）研修の実施等</t>
    <rPh sb="3" eb="5">
      <t>ケンシュウ</t>
    </rPh>
    <rPh sb="6" eb="8">
      <t>ジッシ</t>
    </rPh>
    <phoneticPr fontId="13"/>
  </si>
  <si>
    <t>基準を満たしている又は遅くとも実績報告書の提出までに次の一と二の両方の基準を満たす。</t>
    <rPh sb="0" eb="2">
      <t>キジュン</t>
    </rPh>
    <rPh sb="3" eb="4">
      <t>ミ</t>
    </rPh>
    <rPh sb="9" eb="10">
      <t>マタ</t>
    </rPh>
    <rPh sb="28" eb="29">
      <t>イチ</t>
    </rPh>
    <rPh sb="30" eb="31">
      <t>ニ</t>
    </rPh>
    <rPh sb="32" eb="34">
      <t>リョウホウ</t>
    </rPh>
    <rPh sb="35" eb="37">
      <t>キジュン</t>
    </rPh>
    <phoneticPr fontId="13"/>
  </si>
  <si>
    <t>一</t>
    <phoneticPr fontId="13"/>
  </si>
  <si>
    <t>職員の職務内容等を踏まえ、職員と意見交換しながら、資質向上の目標及びa.・b.のうち少なくともいずれかに関する具体的な計画を策定し、研修の実施又は研修の機会を確保している。</t>
    <rPh sb="0" eb="2">
      <t>ショクイン</t>
    </rPh>
    <rPh sb="3" eb="5">
      <t>ショクム</t>
    </rPh>
    <rPh sb="5" eb="7">
      <t>ナイヨウ</t>
    </rPh>
    <rPh sb="7" eb="8">
      <t>トウ</t>
    </rPh>
    <rPh sb="9" eb="10">
      <t>フ</t>
    </rPh>
    <rPh sb="25" eb="27">
      <t>シシツ</t>
    </rPh>
    <rPh sb="27" eb="29">
      <t>コウジョウ</t>
    </rPh>
    <rPh sb="30" eb="32">
      <t>モクヒョウ</t>
    </rPh>
    <rPh sb="32" eb="33">
      <t>オヨ</t>
    </rPh>
    <rPh sb="42" eb="43">
      <t>スク</t>
    </rPh>
    <rPh sb="52" eb="53">
      <t>カン</t>
    </rPh>
    <rPh sb="55" eb="58">
      <t>グタイテキ</t>
    </rPh>
    <rPh sb="59" eb="61">
      <t>ケイカク</t>
    </rPh>
    <rPh sb="62" eb="64">
      <t>サクテイ</t>
    </rPh>
    <rPh sb="66" eb="68">
      <t>ケンシュウ</t>
    </rPh>
    <rPh sb="69" eb="71">
      <t>ジッシ</t>
    </rPh>
    <rPh sb="71" eb="72">
      <t>マタ</t>
    </rPh>
    <rPh sb="73" eb="75">
      <t>ケンシュウ</t>
    </rPh>
    <rPh sb="76" eb="78">
      <t>キカイ</t>
    </rPh>
    <rPh sb="79" eb="81">
      <t>カクホ</t>
    </rPh>
    <phoneticPr fontId="13"/>
  </si>
  <si>
    <t>一の実現のための具体的な取組内容</t>
    <rPh sb="0" eb="1">
      <t>イチ</t>
    </rPh>
    <rPh sb="14" eb="16">
      <t>ナイヨウ</t>
    </rPh>
    <phoneticPr fontId="13"/>
  </si>
  <si>
    <t>a.</t>
    <phoneticPr fontId="13"/>
  </si>
  <si>
    <t>資質向上のための計画に沿って、研修機会の提供又は技術指導等を実施するとともに、職員の能力評価を行う。</t>
    <phoneticPr fontId="13"/>
  </si>
  <si>
    <t>b.</t>
    <phoneticPr fontId="13"/>
  </si>
  <si>
    <t>資格取得のための支援の実施</t>
    <rPh sb="0" eb="2">
      <t>シカク</t>
    </rPh>
    <rPh sb="2" eb="4">
      <t>シュトク</t>
    </rPh>
    <rPh sb="8" eb="10">
      <t>シエン</t>
    </rPh>
    <rPh sb="11" eb="13">
      <t>ジッシ</t>
    </rPh>
    <phoneticPr fontId="13"/>
  </si>
  <si>
    <t>二</t>
    <phoneticPr fontId="13"/>
  </si>
  <si>
    <t>一について、全ての職員に周知している。</t>
    <rPh sb="6" eb="7">
      <t>スベ</t>
    </rPh>
    <phoneticPr fontId="13"/>
  </si>
  <si>
    <t>参考２　キャリアパス・賃金規程例（小規模事業所用）</t>
    <rPh sb="0" eb="2">
      <t>サンコウ</t>
    </rPh>
    <rPh sb="11" eb="13">
      <t>チンギン</t>
    </rPh>
    <rPh sb="13" eb="15">
      <t>キテイ</t>
    </rPh>
    <rPh sb="15" eb="16">
      <t>レイ</t>
    </rPh>
    <rPh sb="17" eb="20">
      <t>ショウキボ</t>
    </rPh>
    <rPh sb="20" eb="23">
      <t>ジギョウショ</t>
    </rPh>
    <rPh sb="23" eb="24">
      <t>ヨウ</t>
    </rPh>
    <phoneticPr fontId="57"/>
  </si>
  <si>
    <t>例：訪問系（簡易版）</t>
    <rPh sb="0" eb="1">
      <t xml:space="preserve">レイ </t>
    </rPh>
    <rPh sb="2" eb="5">
      <t>カンイバン</t>
    </rPh>
    <phoneticPr fontId="57"/>
  </si>
  <si>
    <t>職位・役職</t>
    <rPh sb="0" eb="2">
      <t>ショクイ</t>
    </rPh>
    <rPh sb="3" eb="5">
      <t>ヤクショク</t>
    </rPh>
    <phoneticPr fontId="13"/>
  </si>
  <si>
    <t>職責</t>
    <rPh sb="0" eb="2">
      <t>ショクセキ</t>
    </rPh>
    <phoneticPr fontId="13"/>
  </si>
  <si>
    <t>任用要件</t>
    <rPh sb="0" eb="2">
      <t>ニンヨウ</t>
    </rPh>
    <rPh sb="2" eb="4">
      <t>ヨウケン</t>
    </rPh>
    <phoneticPr fontId="13"/>
  </si>
  <si>
    <t>給与
（常勤・月給）</t>
    <rPh sb="7" eb="9">
      <t>ゲッキュウ</t>
    </rPh>
    <phoneticPr fontId="57"/>
  </si>
  <si>
    <t>給与
（非常勤・時給）</t>
    <rPh sb="0" eb="2">
      <t>キュウヨ</t>
    </rPh>
    <rPh sb="4" eb="7">
      <t>ヒジョウキン</t>
    </rPh>
    <rPh sb="8" eb="10">
      <t>ジキュウ</t>
    </rPh>
    <phoneticPr fontId="13"/>
  </si>
  <si>
    <t>上級
（主任）</t>
    <rPh sb="0" eb="2">
      <t>ジョウキュウ</t>
    </rPh>
    <rPh sb="4" eb="6">
      <t>シュニン</t>
    </rPh>
    <phoneticPr fontId="13"/>
  </si>
  <si>
    <t>高度な業務の遂行
他の従業員への指導</t>
    <rPh sb="0" eb="2">
      <t>コウド</t>
    </rPh>
    <rPh sb="6" eb="8">
      <t>スイコウ</t>
    </rPh>
    <phoneticPr fontId="13"/>
  </si>
  <si>
    <t>●年以上</t>
    <phoneticPr fontId="13"/>
  </si>
  <si>
    <t>常勤（月給）
・基本給 ●●●円～
・経験手当 ＋●●円
・役職手当 ＋●●円</t>
    <rPh sb="0" eb="2">
      <t>ジョウキン</t>
    </rPh>
    <rPh sb="19" eb="21">
      <t>ケイケン</t>
    </rPh>
    <rPh sb="38" eb="39">
      <t>エン</t>
    </rPh>
    <phoneticPr fontId="13"/>
  </si>
  <si>
    <t>非常勤（時給）
・●●　円
・経験手当 ＋●●円</t>
    <phoneticPr fontId="13"/>
  </si>
  <si>
    <t>中級</t>
    <rPh sb="0" eb="2">
      <t>チュウキュウ</t>
    </rPh>
    <phoneticPr fontId="13"/>
  </si>
  <si>
    <t>通常の介護業務
他の従業員への助言</t>
    <rPh sb="3" eb="5">
      <t>カイゴ</t>
    </rPh>
    <phoneticPr fontId="13"/>
  </si>
  <si>
    <t>●年以上</t>
    <rPh sb="1" eb="2">
      <t>ネン</t>
    </rPh>
    <rPh sb="2" eb="4">
      <t>イジョウ</t>
    </rPh>
    <phoneticPr fontId="13"/>
  </si>
  <si>
    <t>常勤（月給）
・基本給 ●●●円～
・資格手当 ＋●●円</t>
    <rPh sb="0" eb="2">
      <t>ジョウキン</t>
    </rPh>
    <rPh sb="19" eb="21">
      <t>シカク</t>
    </rPh>
    <phoneticPr fontId="13"/>
  </si>
  <si>
    <r>
      <t>非常勤（時給）
・</t>
    </r>
    <r>
      <rPr>
        <sz val="20"/>
        <rFont val="Segoe UI Symbol"/>
        <family val="3"/>
      </rPr>
      <t>●●</t>
    </r>
    <r>
      <rPr>
        <sz val="20"/>
        <rFont val="ＭＳ ゴシック"/>
        <family val="3"/>
        <charset val="128"/>
      </rPr>
      <t>　円</t>
    </r>
    <r>
      <rPr>
        <sz val="20"/>
        <rFont val="ＭＳゴシック"/>
        <family val="3"/>
      </rPr>
      <t xml:space="preserve">
</t>
    </r>
    <r>
      <rPr>
        <sz val="20"/>
        <rFont val="ＭＳ ゴシック"/>
        <family val="3"/>
        <charset val="128"/>
      </rPr>
      <t>・資格手当</t>
    </r>
    <r>
      <rPr>
        <sz val="20"/>
        <rFont val="ＭＳゴシック"/>
        <family val="3"/>
      </rPr>
      <t xml:space="preserve"> </t>
    </r>
    <r>
      <rPr>
        <sz val="20"/>
        <rFont val="ＭＳ ゴシック"/>
        <family val="3"/>
        <charset val="128"/>
      </rPr>
      <t>＋</t>
    </r>
    <r>
      <rPr>
        <sz val="20"/>
        <rFont val="Segoe UI Symbol"/>
        <family val="3"/>
      </rPr>
      <t>●●</t>
    </r>
    <r>
      <rPr>
        <sz val="20"/>
        <rFont val="ＭＳ ゴシック"/>
        <family val="3"/>
        <charset val="128"/>
      </rPr>
      <t>円</t>
    </r>
    <phoneticPr fontId="57"/>
  </si>
  <si>
    <t>初級</t>
    <rPh sb="0" eb="2">
      <t>ショキュウ</t>
    </rPh>
    <phoneticPr fontId="13"/>
  </si>
  <si>
    <t>通常の介護業務</t>
    <rPh sb="3" eb="5">
      <t>カイゴ</t>
    </rPh>
    <phoneticPr fontId="13"/>
  </si>
  <si>
    <t>入社時～</t>
    <rPh sb="2" eb="3">
      <t>ジ</t>
    </rPh>
    <phoneticPr fontId="13"/>
  </si>
  <si>
    <t>常勤（月給）
・基本給 ●●●円～
・資格手当 ＋●●円</t>
    <rPh sb="0" eb="2">
      <t>ジョウキン</t>
    </rPh>
    <rPh sb="19" eb="21">
      <t>シカク</t>
    </rPh>
    <rPh sb="21" eb="23">
      <t>テアテ</t>
    </rPh>
    <rPh sb="27" eb="28">
      <t>エン</t>
    </rPh>
    <phoneticPr fontId="13"/>
  </si>
  <si>
    <r>
      <t>非常勤（時給）
・</t>
    </r>
    <r>
      <rPr>
        <sz val="20"/>
        <rFont val="Segoe UI Symbol"/>
        <family val="3"/>
      </rPr>
      <t>●●</t>
    </r>
    <r>
      <rPr>
        <sz val="20"/>
        <rFont val="ＭＳ ゴシック"/>
        <family val="3"/>
        <charset val="128"/>
      </rPr>
      <t>　円</t>
    </r>
    <r>
      <rPr>
        <sz val="20"/>
        <rFont val="Calibri"/>
        <family val="3"/>
      </rPr>
      <t xml:space="preserve">
</t>
    </r>
    <r>
      <rPr>
        <sz val="20"/>
        <rFont val="ＭＳ ゴシック"/>
        <family val="3"/>
        <charset val="128"/>
      </rPr>
      <t>・資格手当</t>
    </r>
    <r>
      <rPr>
        <sz val="20"/>
        <rFont val="Calibri"/>
        <family val="3"/>
      </rPr>
      <t xml:space="preserve"> </t>
    </r>
    <r>
      <rPr>
        <sz val="20"/>
        <rFont val="ＭＳ ゴシック"/>
        <family val="3"/>
        <charset val="128"/>
      </rPr>
      <t>＋</t>
    </r>
    <r>
      <rPr>
        <sz val="20"/>
        <rFont val="Segoe UI Symbol"/>
        <family val="3"/>
      </rPr>
      <t>●●</t>
    </r>
    <r>
      <rPr>
        <sz val="20"/>
        <rFont val="ＭＳ ゴシック"/>
        <family val="3"/>
        <charset val="128"/>
      </rPr>
      <t>円</t>
    </r>
    <phoneticPr fontId="57"/>
  </si>
  <si>
    <t>　注　「任用要件」欄に記載の勤続年数又は研修の受講状況に応じて昇給するものとし、職位に応じた給与を支給する。
　　　「給与」欄に記載のない手当として、通勤手当（●●円）、研修受講手当（●●円）を支給する。
　　　また、介護職員等処遇改善加算の加算額は、経験手当・資格手当への上乗せとして、１人当たり●●円～●●円の範囲内で配分する。</t>
    <rPh sb="1" eb="2">
      <t>チュウ</t>
    </rPh>
    <rPh sb="4" eb="6">
      <t>ニンヨウ</t>
    </rPh>
    <rPh sb="6" eb="8">
      <t>ヨウケン</t>
    </rPh>
    <rPh sb="9" eb="10">
      <t>ラン</t>
    </rPh>
    <rPh sb="11" eb="13">
      <t>キサイ</t>
    </rPh>
    <rPh sb="14" eb="16">
      <t>キンゾク</t>
    </rPh>
    <rPh sb="16" eb="18">
      <t>ネンスウ</t>
    </rPh>
    <rPh sb="18" eb="19">
      <t>マタ</t>
    </rPh>
    <rPh sb="20" eb="22">
      <t>ケンシュウ</t>
    </rPh>
    <rPh sb="23" eb="25">
      <t>ジュコウ</t>
    </rPh>
    <rPh sb="25" eb="27">
      <t>ジョウキョウ</t>
    </rPh>
    <rPh sb="28" eb="29">
      <t>オウ</t>
    </rPh>
    <rPh sb="31" eb="33">
      <t>ショウキュウ</t>
    </rPh>
    <rPh sb="40" eb="42">
      <t>ショクイ</t>
    </rPh>
    <rPh sb="43" eb="44">
      <t>オウ</t>
    </rPh>
    <rPh sb="46" eb="48">
      <t>キュウヨ</t>
    </rPh>
    <rPh sb="49" eb="51">
      <t>シキュウ</t>
    </rPh>
    <rPh sb="59" eb="61">
      <t>キュウヨ</t>
    </rPh>
    <rPh sb="62" eb="63">
      <t>ラン</t>
    </rPh>
    <rPh sb="64" eb="66">
      <t>キサイ</t>
    </rPh>
    <rPh sb="69" eb="71">
      <t>テアテ</t>
    </rPh>
    <rPh sb="75" eb="77">
      <t>ツウキン</t>
    </rPh>
    <rPh sb="77" eb="79">
      <t>テアテ</t>
    </rPh>
    <rPh sb="82" eb="83">
      <t>エン</t>
    </rPh>
    <rPh sb="85" eb="87">
      <t>ケンシュウ</t>
    </rPh>
    <rPh sb="87" eb="89">
      <t>ジュコウ</t>
    </rPh>
    <rPh sb="89" eb="91">
      <t>テアテ</t>
    </rPh>
    <rPh sb="94" eb="95">
      <t>エン</t>
    </rPh>
    <rPh sb="97" eb="99">
      <t>シキュウ</t>
    </rPh>
    <rPh sb="109" eb="111">
      <t>カイゴ</t>
    </rPh>
    <rPh sb="111" eb="113">
      <t>ショクイン</t>
    </rPh>
    <rPh sb="113" eb="114">
      <t>トウ</t>
    </rPh>
    <rPh sb="114" eb="120">
      <t>ショグウカイゼンカサン</t>
    </rPh>
    <rPh sb="121" eb="123">
      <t>カサン</t>
    </rPh>
    <rPh sb="123" eb="124">
      <t>ガク</t>
    </rPh>
    <rPh sb="126" eb="128">
      <t>ケイケン</t>
    </rPh>
    <rPh sb="128" eb="130">
      <t>テアテ</t>
    </rPh>
    <rPh sb="131" eb="133">
      <t>シカク</t>
    </rPh>
    <rPh sb="133" eb="135">
      <t>テアテ</t>
    </rPh>
    <rPh sb="137" eb="139">
      <t>ウワノ</t>
    </rPh>
    <rPh sb="146" eb="147">
      <t>ア</t>
    </rPh>
    <rPh sb="151" eb="152">
      <t>エン</t>
    </rPh>
    <rPh sb="155" eb="156">
      <t>エン</t>
    </rPh>
    <rPh sb="157" eb="160">
      <t>ハンイナイ</t>
    </rPh>
    <rPh sb="161" eb="163">
      <t>ハイブン</t>
    </rPh>
    <phoneticPr fontId="13"/>
  </si>
  <si>
    <t>（研修計画）</t>
    <rPh sb="1" eb="3">
      <t>ケンシュウ</t>
    </rPh>
    <rPh sb="3" eb="5">
      <t>ケイカク</t>
    </rPh>
    <phoneticPr fontId="57"/>
  </si>
  <si>
    <t>　・ 個別の希望に基づく研修計画を作成し、年●回以上●●研修をオンラインで受講。
　・ 上記の他、月２回ランチミーティングを行い、ケアの向上に資する業務の中での気づきの共有やお互いへのフィードバックを行う。
　・ 実務経験が●年以上の介護職員が●年目までに実務者研修を受講した場合、受講費用の補助として、●●万円を支給。</t>
    <rPh sb="3" eb="5">
      <t>コベツ</t>
    </rPh>
    <rPh sb="6" eb="8">
      <t>キボウ</t>
    </rPh>
    <rPh sb="9" eb="10">
      <t>モト</t>
    </rPh>
    <rPh sb="12" eb="14">
      <t>ケンシュウ</t>
    </rPh>
    <rPh sb="14" eb="16">
      <t>ケイカク</t>
    </rPh>
    <rPh sb="17" eb="19">
      <t>サクセイ</t>
    </rPh>
    <rPh sb="21" eb="22">
      <t>ネン</t>
    </rPh>
    <rPh sb="23" eb="24">
      <t>カイ</t>
    </rPh>
    <rPh sb="24" eb="26">
      <t>イジョウ</t>
    </rPh>
    <rPh sb="28" eb="30">
      <t>ケンシュウ</t>
    </rPh>
    <rPh sb="37" eb="39">
      <t>ジュコウ</t>
    </rPh>
    <rPh sb="44" eb="46">
      <t>ジョウキ</t>
    </rPh>
    <rPh sb="47" eb="48">
      <t>タ</t>
    </rPh>
    <rPh sb="49" eb="50">
      <t>ツキ</t>
    </rPh>
    <rPh sb="51" eb="52">
      <t>カイ</t>
    </rPh>
    <rPh sb="62" eb="63">
      <t>オコナ</t>
    </rPh>
    <rPh sb="68" eb="70">
      <t>コウジョウ</t>
    </rPh>
    <rPh sb="71" eb="72">
      <t>シ</t>
    </rPh>
    <rPh sb="74" eb="76">
      <t>ギョウム</t>
    </rPh>
    <rPh sb="77" eb="78">
      <t>ナカ</t>
    </rPh>
    <rPh sb="80" eb="81">
      <t>キ</t>
    </rPh>
    <rPh sb="84" eb="86">
      <t>キョウユウ</t>
    </rPh>
    <rPh sb="88" eb="89">
      <t>タガ</t>
    </rPh>
    <rPh sb="100" eb="101">
      <t>オコナ</t>
    </rPh>
    <phoneticPr fontId="57"/>
  </si>
  <si>
    <t>表１　交付率一覧</t>
    <rPh sb="0" eb="1">
      <t>ヒョウ</t>
    </rPh>
    <rPh sb="3" eb="6">
      <t>コウフリツ</t>
    </rPh>
    <rPh sb="6" eb="8">
      <t>イチラン</t>
    </rPh>
    <phoneticPr fontId="13"/>
  </si>
  <si>
    <t>表２　６月以降に算定可能な加算区分</t>
    <rPh sb="0" eb="1">
      <t>ヒョウ</t>
    </rPh>
    <rPh sb="4" eb="5">
      <t>ガツ</t>
    </rPh>
    <rPh sb="5" eb="7">
      <t>イコウ</t>
    </rPh>
    <rPh sb="8" eb="10">
      <t>サンテイ</t>
    </rPh>
    <rPh sb="10" eb="12">
      <t>カノウ</t>
    </rPh>
    <rPh sb="13" eb="15">
      <t>カサン</t>
    </rPh>
    <rPh sb="15" eb="17">
      <t>クブン</t>
    </rPh>
    <phoneticPr fontId="13"/>
  </si>
  <si>
    <t>表３　提出先一覧</t>
    <rPh sb="0" eb="1">
      <t>ヒョウ</t>
    </rPh>
    <rPh sb="3" eb="5">
      <t>テイシュツ</t>
    </rPh>
    <rPh sb="5" eb="6">
      <t>サキ</t>
    </rPh>
    <rPh sb="6" eb="8">
      <t>イチラン</t>
    </rPh>
    <phoneticPr fontId="13"/>
  </si>
  <si>
    <t>表４　事業所の所在地</t>
    <rPh sb="0" eb="1">
      <t>ヒョウ</t>
    </rPh>
    <rPh sb="3" eb="6">
      <t>ジギョウショ</t>
    </rPh>
    <rPh sb="7" eb="10">
      <t>ショザイチ</t>
    </rPh>
    <phoneticPr fontId="13"/>
  </si>
  <si>
    <t>表５　１単位あたりの単価</t>
    <rPh sb="0" eb="1">
      <t>ヒョウ</t>
    </rPh>
    <rPh sb="4" eb="6">
      <t>タンイ</t>
    </rPh>
    <rPh sb="10" eb="12">
      <t>タンカ</t>
    </rPh>
    <phoneticPr fontId="13"/>
  </si>
  <si>
    <t>表６　選択様式</t>
    <rPh sb="0" eb="1">
      <t>ヒョウ</t>
    </rPh>
    <rPh sb="3" eb="5">
      <t>センタク</t>
    </rPh>
    <rPh sb="5" eb="7">
      <t>ヨウシキ</t>
    </rPh>
    <phoneticPr fontId="13"/>
  </si>
  <si>
    <t>表８　選択様式（誓約簡略化）</t>
    <rPh sb="0" eb="1">
      <t>ヒョウ</t>
    </rPh>
    <rPh sb="3" eb="5">
      <t>センタク</t>
    </rPh>
    <rPh sb="5" eb="7">
      <t>ヨウシキ</t>
    </rPh>
    <rPh sb="8" eb="10">
      <t>セイヤク</t>
    </rPh>
    <rPh sb="10" eb="12">
      <t>カンリャク</t>
    </rPh>
    <rPh sb="12" eb="13">
      <t>カ</t>
    </rPh>
    <phoneticPr fontId="13"/>
  </si>
  <si>
    <t>表７　キャリアパス要件Ⅳ　規定人数集計対象外リスト</t>
    <rPh sb="0" eb="1">
      <t>ヒョウ</t>
    </rPh>
    <rPh sb="9" eb="11">
      <t>ヨウケン</t>
    </rPh>
    <rPh sb="13" eb="15">
      <t>キテイ</t>
    </rPh>
    <rPh sb="15" eb="17">
      <t>ニンズウ</t>
    </rPh>
    <rPh sb="17" eb="19">
      <t>シュウケイ</t>
    </rPh>
    <rPh sb="19" eb="21">
      <t>タイショウ</t>
    </rPh>
    <rPh sb="21" eb="22">
      <t>ガイ</t>
    </rPh>
    <phoneticPr fontId="13"/>
  </si>
  <si>
    <t>表９　令和８年度特例要件</t>
    <rPh sb="0" eb="1">
      <t>ヒョウ</t>
    </rPh>
    <rPh sb="3" eb="5">
      <t>レイワ</t>
    </rPh>
    <rPh sb="6" eb="8">
      <t>ネンド</t>
    </rPh>
    <rPh sb="8" eb="10">
      <t>トクレイ</t>
    </rPh>
    <rPh sb="10" eb="12">
      <t>ヨウケン</t>
    </rPh>
    <phoneticPr fontId="13"/>
  </si>
  <si>
    <t>表10</t>
    <rPh sb="0" eb="1">
      <t>ヒョウ</t>
    </rPh>
    <phoneticPr fontId="13"/>
  </si>
  <si>
    <t>サービス区分</t>
    <phoneticPr fontId="13"/>
  </si>
  <si>
    <t>コード値</t>
    <rPh sb="3" eb="4">
      <t>チ</t>
    </rPh>
    <phoneticPr fontId="91"/>
  </si>
  <si>
    <t>処遇改善加算　加算率（令和８年４月・５月）</t>
    <rPh sb="0" eb="4">
      <t>ショグウカイゼン</t>
    </rPh>
    <rPh sb="4" eb="6">
      <t>カサン</t>
    </rPh>
    <rPh sb="7" eb="10">
      <t>カサンリツ</t>
    </rPh>
    <rPh sb="11" eb="13">
      <t>レイワ</t>
    </rPh>
    <rPh sb="14" eb="15">
      <t>ネン</t>
    </rPh>
    <rPh sb="16" eb="17">
      <t>ガツ</t>
    </rPh>
    <rPh sb="19" eb="20">
      <t>ガツ</t>
    </rPh>
    <phoneticPr fontId="13"/>
  </si>
  <si>
    <t>処遇改善加算　加算率（令和８年６月以降）</t>
    <rPh sb="0" eb="4">
      <t>ショグウカイゼン</t>
    </rPh>
    <rPh sb="4" eb="6">
      <t>カサン</t>
    </rPh>
    <rPh sb="7" eb="10">
      <t>カサンリツ</t>
    </rPh>
    <rPh sb="11" eb="13">
      <t>レイワ</t>
    </rPh>
    <rPh sb="14" eb="15">
      <t>ネン</t>
    </rPh>
    <rPh sb="16" eb="17">
      <t>ガツ</t>
    </rPh>
    <rPh sb="17" eb="19">
      <t>イコウ</t>
    </rPh>
    <phoneticPr fontId="13"/>
  </si>
  <si>
    <t>分類</t>
    <rPh sb="0" eb="2">
      <t>ブンルイ</t>
    </rPh>
    <phoneticPr fontId="13"/>
  </si>
  <si>
    <t>４、５月時点の分類</t>
    <rPh sb="3" eb="4">
      <t>ガツ</t>
    </rPh>
    <rPh sb="4" eb="6">
      <t>ジテン</t>
    </rPh>
    <rPh sb="7" eb="9">
      <t>ブンルイ</t>
    </rPh>
    <phoneticPr fontId="13"/>
  </si>
  <si>
    <t>市区町村</t>
    <rPh sb="0" eb="4">
      <t>シクチョウソン</t>
    </rPh>
    <phoneticPr fontId="13"/>
  </si>
  <si>
    <t>級地</t>
    <rPh sb="0" eb="2">
      <t>キュウチ</t>
    </rPh>
    <phoneticPr fontId="57"/>
  </si>
  <si>
    <t>上乗せ割合</t>
    <rPh sb="0" eb="2">
      <t>ウワノ</t>
    </rPh>
    <rPh sb="3" eb="5">
      <t>ワリアイ</t>
    </rPh>
    <phoneticPr fontId="57"/>
  </si>
  <si>
    <t>市区町村</t>
    <rPh sb="0" eb="4">
      <t>シクチョウソン</t>
    </rPh>
    <phoneticPr fontId="65"/>
  </si>
  <si>
    <t>組み合わせ</t>
    <rPh sb="0" eb="1">
      <t>ク</t>
    </rPh>
    <rPh sb="2" eb="3">
      <t>ア</t>
    </rPh>
    <phoneticPr fontId="13"/>
  </si>
  <si>
    <t>介護サービス</t>
    <rPh sb="0" eb="2">
      <t>カイゴ</t>
    </rPh>
    <phoneticPr fontId="57"/>
  </si>
  <si>
    <t>人件費割合</t>
    <rPh sb="0" eb="3">
      <t>ジンケンヒ</t>
    </rPh>
    <rPh sb="3" eb="5">
      <t>ワリアイ</t>
    </rPh>
    <phoneticPr fontId="57"/>
  </si>
  <si>
    <t>チェックボックス</t>
    <phoneticPr fontId="13"/>
  </si>
  <si>
    <t>誓約</t>
    <rPh sb="0" eb="2">
      <t>セイヤク</t>
    </rPh>
    <phoneticPr fontId="13"/>
  </si>
  <si>
    <t>対象</t>
    <rPh sb="0" eb="2">
      <t>タイショウ</t>
    </rPh>
    <phoneticPr fontId="13"/>
  </si>
  <si>
    <t>要件</t>
    <rPh sb="0" eb="2">
      <t>ヨウケン</t>
    </rPh>
    <phoneticPr fontId="13"/>
  </si>
  <si>
    <t>処遇改善加算Ⅱ</t>
  </si>
  <si>
    <t>処遇改善加算Ⅳ</t>
  </si>
  <si>
    <t>処遇改善加算Ⅰイ</t>
    <phoneticPr fontId="13"/>
  </si>
  <si>
    <t>処遇改善加算Ⅰロ</t>
    <phoneticPr fontId="13"/>
  </si>
  <si>
    <t>処遇改善加算Ⅱイ</t>
    <phoneticPr fontId="13"/>
  </si>
  <si>
    <t>処遇改善加算Ⅱロ</t>
    <phoneticPr fontId="13"/>
  </si>
  <si>
    <t>処遇改善加算Ⅲ</t>
    <phoneticPr fontId="13"/>
  </si>
  <si>
    <t>処遇改善加算Ⅳ</t>
    <phoneticPr fontId="13"/>
  </si>
  <si>
    <t>処遇改善加算</t>
    <rPh sb="0" eb="2">
      <t>ショグウ</t>
    </rPh>
    <rPh sb="2" eb="4">
      <t>カイゼン</t>
    </rPh>
    <rPh sb="4" eb="6">
      <t>カサン</t>
    </rPh>
    <phoneticPr fontId="13"/>
  </si>
  <si>
    <t>加算対象</t>
    <rPh sb="0" eb="2">
      <t>カサン</t>
    </rPh>
    <rPh sb="2" eb="4">
      <t>タイショウ</t>
    </rPh>
    <phoneticPr fontId="13"/>
  </si>
  <si>
    <t>加算対象外</t>
    <rPh sb="0" eb="2">
      <t>カサン</t>
    </rPh>
    <rPh sb="2" eb="5">
      <t>タイショウガイ</t>
    </rPh>
    <phoneticPr fontId="13"/>
  </si>
  <si>
    <t>北海道</t>
  </si>
  <si>
    <t>札幌市</t>
  </si>
  <si>
    <t>1級地</t>
    <rPh sb="1" eb="3">
      <t>キュウチ</t>
    </rPh>
    <phoneticPr fontId="57"/>
  </si>
  <si>
    <t>千代田区</t>
    <rPh sb="0" eb="4">
      <t>チヨダク</t>
    </rPh>
    <phoneticPr fontId="4"/>
  </si>
  <si>
    <t>✓</t>
    <phoneticPr fontId="13"/>
  </si>
  <si>
    <t>その他</t>
    <rPh sb="2" eb="3">
      <t>タ</t>
    </rPh>
    <phoneticPr fontId="13"/>
  </si>
  <si>
    <t>青森県</t>
  </si>
  <si>
    <t>函館市</t>
  </si>
  <si>
    <t>中央区</t>
    <rPh sb="0" eb="3">
      <t>チュウオウク</t>
    </rPh>
    <phoneticPr fontId="4"/>
  </si>
  <si>
    <t>夜間対応型訪問介護</t>
  </si>
  <si>
    <t>岩手県</t>
  </si>
  <si>
    <t>小樽市</t>
  </si>
  <si>
    <t>港区</t>
    <rPh sb="0" eb="2">
      <t>ミナトク</t>
    </rPh>
    <phoneticPr fontId="4"/>
  </si>
  <si>
    <t>定期巡回･随時対応型訪問介護看護</t>
  </si>
  <si>
    <t>宮城県</t>
  </si>
  <si>
    <t>旭川市</t>
  </si>
  <si>
    <t>新宿区</t>
    <rPh sb="0" eb="3">
      <t>シンジュクク</t>
    </rPh>
    <phoneticPr fontId="4"/>
  </si>
  <si>
    <t>訪問入浴介護</t>
    <phoneticPr fontId="13"/>
  </si>
  <si>
    <t>秋田県</t>
  </si>
  <si>
    <t>室蘭市</t>
  </si>
  <si>
    <t>文京区</t>
    <rPh sb="0" eb="3">
      <t>ブンキョウク</t>
    </rPh>
    <phoneticPr fontId="4"/>
  </si>
  <si>
    <t>介護予防訪問入浴介護</t>
    <phoneticPr fontId="13"/>
  </si>
  <si>
    <t>介護予防</t>
    <rPh sb="0" eb="2">
      <t>カイゴ</t>
    </rPh>
    <rPh sb="2" eb="4">
      <t>ヨボウ</t>
    </rPh>
    <phoneticPr fontId="13"/>
  </si>
  <si>
    <t>山形県</t>
  </si>
  <si>
    <t>釧路市</t>
  </si>
  <si>
    <t>台東区</t>
    <rPh sb="0" eb="3">
      <t>タイトウク</t>
    </rPh>
    <phoneticPr fontId="4"/>
  </si>
  <si>
    <t>通所介護</t>
  </si>
  <si>
    <t>福島県</t>
  </si>
  <si>
    <t>帯広市</t>
  </si>
  <si>
    <t>墨田区</t>
    <rPh sb="0" eb="3">
      <t>スミダク</t>
    </rPh>
    <phoneticPr fontId="4"/>
  </si>
  <si>
    <t>地域密着型通所介護</t>
  </si>
  <si>
    <t>キャリアパス要件Ⅰ・Ⅱ_加算対象</t>
    <rPh sb="6" eb="8">
      <t>ヨウケン</t>
    </rPh>
    <rPh sb="12" eb="14">
      <t>カサン</t>
    </rPh>
    <rPh sb="14" eb="16">
      <t>タイショウ</t>
    </rPh>
    <phoneticPr fontId="13"/>
  </si>
  <si>
    <t>茨城県</t>
  </si>
  <si>
    <t>北見市</t>
  </si>
  <si>
    <t>江東区</t>
    <rPh sb="0" eb="3">
      <t>コウトウク</t>
    </rPh>
    <phoneticPr fontId="4"/>
  </si>
  <si>
    <t>通所リハビリテーション</t>
    <phoneticPr fontId="13"/>
  </si>
  <si>
    <t>栃木県</t>
  </si>
  <si>
    <t>夕張市</t>
  </si>
  <si>
    <t>品川区</t>
    <rPh sb="0" eb="3">
      <t>シナガワク</t>
    </rPh>
    <phoneticPr fontId="4"/>
  </si>
  <si>
    <t>介護予防通所リハビリテーション</t>
    <phoneticPr fontId="13"/>
  </si>
  <si>
    <t>群馬県</t>
  </si>
  <si>
    <t>岩見沢市</t>
  </si>
  <si>
    <t>目黒区</t>
    <rPh sb="0" eb="3">
      <t>メグロク</t>
    </rPh>
    <phoneticPr fontId="4"/>
  </si>
  <si>
    <t>特定施設入居者生活介護（短期利用型）</t>
    <rPh sb="0" eb="2">
      <t>トクテイ</t>
    </rPh>
    <rPh sb="2" eb="4">
      <t>シセツ</t>
    </rPh>
    <rPh sb="4" eb="7">
      <t>ニュウキョシャ</t>
    </rPh>
    <rPh sb="7" eb="9">
      <t>セイカツ</t>
    </rPh>
    <rPh sb="9" eb="11">
      <t>カイゴ</t>
    </rPh>
    <rPh sb="12" eb="14">
      <t>タンキ</t>
    </rPh>
    <rPh sb="14" eb="17">
      <t>リヨウガタ</t>
    </rPh>
    <phoneticPr fontId="91"/>
  </si>
  <si>
    <t>特定施設入居者生活介護</t>
    <phoneticPr fontId="13"/>
  </si>
  <si>
    <t>埼玉県</t>
  </si>
  <si>
    <t>網走市</t>
  </si>
  <si>
    <t>大田区</t>
    <rPh sb="0" eb="3">
      <t>オオタク</t>
    </rPh>
    <phoneticPr fontId="4"/>
  </si>
  <si>
    <t>キャリアパス要件Ⅰ・Ⅱ_加算対象外</t>
    <rPh sb="12" eb="14">
      <t>カサン</t>
    </rPh>
    <rPh sb="14" eb="17">
      <t>タイショウガイ</t>
    </rPh>
    <phoneticPr fontId="13"/>
  </si>
  <si>
    <t>短期利用型</t>
    <rPh sb="0" eb="5">
      <t>タンキリヨウガタ</t>
    </rPh>
    <phoneticPr fontId="13"/>
  </si>
  <si>
    <t>千葉県</t>
  </si>
  <si>
    <t>留萌市</t>
  </si>
  <si>
    <t>世田谷区</t>
    <rPh sb="0" eb="4">
      <t>セタガヤク</t>
    </rPh>
    <phoneticPr fontId="4"/>
  </si>
  <si>
    <t>介護予防特定施設入居者生活介護</t>
    <phoneticPr fontId="13"/>
  </si>
  <si>
    <t>苫小牧市</t>
  </si>
  <si>
    <t>渋谷区</t>
    <rPh sb="0" eb="3">
      <t>シブヤク</t>
    </rPh>
    <phoneticPr fontId="4"/>
  </si>
  <si>
    <t>地域密着型特定施設入居者生活介護</t>
    <phoneticPr fontId="13"/>
  </si>
  <si>
    <t>神奈川県</t>
  </si>
  <si>
    <t>稚内市</t>
  </si>
  <si>
    <t>中野区</t>
    <rPh sb="0" eb="3">
      <t>ナカノク</t>
    </rPh>
    <phoneticPr fontId="4"/>
  </si>
  <si>
    <t>地域密着型特定施設入居者生活介護（短期利用型）</t>
    <phoneticPr fontId="13"/>
  </si>
  <si>
    <t>新潟県</t>
  </si>
  <si>
    <t>美唄市</t>
  </si>
  <si>
    <t>杉並区</t>
    <rPh sb="0" eb="3">
      <t>スギナミク</t>
    </rPh>
    <phoneticPr fontId="4"/>
  </si>
  <si>
    <t>認知症対応型通所介護</t>
    <phoneticPr fontId="13"/>
  </si>
  <si>
    <t>富山県</t>
  </si>
  <si>
    <t>芦別市</t>
  </si>
  <si>
    <t>豊島区</t>
    <rPh sb="0" eb="3">
      <t>トシマク</t>
    </rPh>
    <phoneticPr fontId="4"/>
  </si>
  <si>
    <t>介護予防認知症対応型通所介護</t>
    <phoneticPr fontId="13"/>
  </si>
  <si>
    <t>石川県</t>
  </si>
  <si>
    <t>江別市</t>
  </si>
  <si>
    <t>北区</t>
    <rPh sb="0" eb="2">
      <t>キタク</t>
    </rPh>
    <phoneticPr fontId="4"/>
  </si>
  <si>
    <t>小規模多機能型居宅介護</t>
    <phoneticPr fontId="13"/>
  </si>
  <si>
    <t>福井県</t>
  </si>
  <si>
    <t>赤平市</t>
  </si>
  <si>
    <t>荒川区</t>
    <rPh sb="0" eb="3">
      <t>アラカワク</t>
    </rPh>
    <phoneticPr fontId="4"/>
  </si>
  <si>
    <t>小規模多機能型居宅介護（短期利用型）</t>
    <phoneticPr fontId="13"/>
  </si>
  <si>
    <t>短期利用型</t>
    <rPh sb="0" eb="2">
      <t>タンキ</t>
    </rPh>
    <rPh sb="2" eb="4">
      <t>リヨウ</t>
    </rPh>
    <rPh sb="4" eb="5">
      <t>ガタ</t>
    </rPh>
    <phoneticPr fontId="13"/>
  </si>
  <si>
    <t>山梨県</t>
  </si>
  <si>
    <t>紋別市</t>
  </si>
  <si>
    <t>板橋区</t>
    <rPh sb="0" eb="3">
      <t>イタバシク</t>
    </rPh>
    <phoneticPr fontId="4"/>
  </si>
  <si>
    <t>介護予防小規模多機能型居宅介護</t>
    <phoneticPr fontId="13"/>
  </si>
  <si>
    <t>長野県</t>
  </si>
  <si>
    <t>士別市</t>
  </si>
  <si>
    <t>練馬区</t>
    <rPh sb="0" eb="3">
      <t>ネリマク</t>
    </rPh>
    <phoneticPr fontId="4"/>
  </si>
  <si>
    <t>介護予防小規模多機能型居宅介護（短期利用型）</t>
    <rPh sb="16" eb="21">
      <t>タンキリヨウガタ</t>
    </rPh>
    <phoneticPr fontId="13"/>
  </si>
  <si>
    <t>介護予防・短期利用型</t>
    <rPh sb="0" eb="2">
      <t>カイゴ</t>
    </rPh>
    <rPh sb="2" eb="4">
      <t>ヨボウ</t>
    </rPh>
    <rPh sb="5" eb="7">
      <t>タンキ</t>
    </rPh>
    <rPh sb="7" eb="9">
      <t>リヨウ</t>
    </rPh>
    <rPh sb="9" eb="10">
      <t>ガタ</t>
    </rPh>
    <phoneticPr fontId="13"/>
  </si>
  <si>
    <t>岐阜県</t>
  </si>
  <si>
    <t>名寄市</t>
  </si>
  <si>
    <t>足立区</t>
    <rPh sb="0" eb="3">
      <t>アダチク</t>
    </rPh>
    <phoneticPr fontId="4"/>
  </si>
  <si>
    <t>看護小規模多機能型居宅介護</t>
  </si>
  <si>
    <t>静岡県</t>
  </si>
  <si>
    <t>三笠市</t>
  </si>
  <si>
    <t>葛飾区</t>
    <rPh sb="0" eb="3">
      <t>カツシカク</t>
    </rPh>
    <phoneticPr fontId="4"/>
  </si>
  <si>
    <t>看護小規模多機能型居宅介護（短期利用型）</t>
    <rPh sb="14" eb="19">
      <t>タンキリヨウガタ</t>
    </rPh>
    <phoneticPr fontId="13"/>
  </si>
  <si>
    <t>愛知県</t>
  </si>
  <si>
    <t>根室市</t>
  </si>
  <si>
    <t>江戸川区</t>
    <rPh sb="0" eb="4">
      <t>エドガワク</t>
    </rPh>
    <phoneticPr fontId="4"/>
  </si>
  <si>
    <t>認知症対応型共同生活介護</t>
    <phoneticPr fontId="13"/>
  </si>
  <si>
    <t>三重県</t>
  </si>
  <si>
    <t>千歳市</t>
  </si>
  <si>
    <t>2級地</t>
    <rPh sb="1" eb="3">
      <t>キュウチ</t>
    </rPh>
    <phoneticPr fontId="57"/>
  </si>
  <si>
    <t>調布市</t>
  </si>
  <si>
    <t>認知症対応型共同生活介護（短期利用型）</t>
    <phoneticPr fontId="13"/>
  </si>
  <si>
    <t>滋賀県</t>
  </si>
  <si>
    <t>滝川市</t>
  </si>
  <si>
    <t>町田市</t>
    <rPh sb="0" eb="3">
      <t>マチダシ</t>
    </rPh>
    <phoneticPr fontId="4"/>
  </si>
  <si>
    <t>介護予防認知症対応型共同生活介護</t>
    <rPh sb="0" eb="2">
      <t>カイゴ</t>
    </rPh>
    <rPh sb="2" eb="4">
      <t>ヨボウ</t>
    </rPh>
    <phoneticPr fontId="13"/>
  </si>
  <si>
    <t>京都府</t>
  </si>
  <si>
    <t>砂川市</t>
  </si>
  <si>
    <t>狛江市</t>
    <rPh sb="0" eb="3">
      <t>コマエシ</t>
    </rPh>
    <phoneticPr fontId="4"/>
  </si>
  <si>
    <t>介護予防認知症対応型共同生活介護（短期利用型）</t>
    <rPh sb="0" eb="2">
      <t>カイゴ</t>
    </rPh>
    <rPh sb="2" eb="4">
      <t>ヨボウ</t>
    </rPh>
    <phoneticPr fontId="13"/>
  </si>
  <si>
    <t>大阪府</t>
  </si>
  <si>
    <t>歌志内市</t>
  </si>
  <si>
    <t>多摩市</t>
    <rPh sb="0" eb="3">
      <t>タマシ</t>
    </rPh>
    <phoneticPr fontId="4"/>
  </si>
  <si>
    <t>介護老人福祉施設</t>
    <phoneticPr fontId="13"/>
  </si>
  <si>
    <t>兵庫県</t>
  </si>
  <si>
    <t>深川市</t>
  </si>
  <si>
    <t>神奈川県</t>
    <rPh sb="0" eb="4">
      <t>カナガワケン</t>
    </rPh>
    <phoneticPr fontId="13"/>
  </si>
  <si>
    <t>横浜市</t>
    <rPh sb="0" eb="3">
      <t>ヨコハマシ</t>
    </rPh>
    <phoneticPr fontId="4"/>
  </si>
  <si>
    <t>地域密着型介護老人福祉施設</t>
  </si>
  <si>
    <t>奈良県</t>
  </si>
  <si>
    <t>富良野市</t>
  </si>
  <si>
    <t>川崎市</t>
    <rPh sb="0" eb="3">
      <t>カワサキシ</t>
    </rPh>
    <phoneticPr fontId="4"/>
  </si>
  <si>
    <t>短期入所生活介護</t>
    <phoneticPr fontId="13"/>
  </si>
  <si>
    <t>和歌山県</t>
  </si>
  <si>
    <t>登別市</t>
  </si>
  <si>
    <t>大阪府</t>
    <rPh sb="0" eb="3">
      <t>オオサカフ</t>
    </rPh>
    <phoneticPr fontId="13"/>
  </si>
  <si>
    <t>大阪市</t>
    <rPh sb="0" eb="3">
      <t>オオサカシ</t>
    </rPh>
    <phoneticPr fontId="4"/>
  </si>
  <si>
    <t>介護予防短期入所生活介護</t>
    <phoneticPr fontId="13"/>
  </si>
  <si>
    <t>鳥取県</t>
  </si>
  <si>
    <t>恵庭市</t>
  </si>
  <si>
    <t>3級地</t>
    <rPh sb="1" eb="3">
      <t>キュウチ</t>
    </rPh>
    <phoneticPr fontId="57"/>
  </si>
  <si>
    <t>埼玉県</t>
    <rPh sb="0" eb="3">
      <t>サイタマケン</t>
    </rPh>
    <phoneticPr fontId="13"/>
  </si>
  <si>
    <t>さいたま市</t>
  </si>
  <si>
    <t>介護老人保健施設</t>
    <phoneticPr fontId="13"/>
  </si>
  <si>
    <t>島根県</t>
  </si>
  <si>
    <t>伊達市</t>
  </si>
  <si>
    <t>千葉県</t>
    <rPh sb="0" eb="3">
      <t>チバケン</t>
    </rPh>
    <phoneticPr fontId="13"/>
  </si>
  <si>
    <t>千葉市</t>
  </si>
  <si>
    <t>短期入所療養介護（老健）</t>
    <phoneticPr fontId="13"/>
  </si>
  <si>
    <t>岡山県</t>
  </si>
  <si>
    <t>北広島市</t>
  </si>
  <si>
    <t>浦安市</t>
  </si>
  <si>
    <t>介護予防短期入所療養介護（老健）</t>
    <phoneticPr fontId="13"/>
  </si>
  <si>
    <t>広島県</t>
  </si>
  <si>
    <t>石狩市</t>
  </si>
  <si>
    <t>八王子市</t>
  </si>
  <si>
    <t>短期入所療養介護 （病院等)</t>
    <phoneticPr fontId="13"/>
  </si>
  <si>
    <t>山口県</t>
  </si>
  <si>
    <t>北斗市</t>
  </si>
  <si>
    <t>武蔵野市</t>
  </si>
  <si>
    <t>介護予防短期入所療養介護 （病院等)</t>
    <phoneticPr fontId="13"/>
  </si>
  <si>
    <t>徳島県</t>
  </si>
  <si>
    <t>当別町</t>
  </si>
  <si>
    <t>三鷹市</t>
  </si>
  <si>
    <t>介護医療院</t>
    <rPh sb="2" eb="4">
      <t>イリョウ</t>
    </rPh>
    <rPh sb="4" eb="5">
      <t>イン</t>
    </rPh>
    <phoneticPr fontId="13"/>
  </si>
  <si>
    <t>香川県</t>
  </si>
  <si>
    <t>新篠津村</t>
  </si>
  <si>
    <t>青梅市</t>
  </si>
  <si>
    <t>短期入所療養介護 （医療院)</t>
    <rPh sb="10" eb="12">
      <t>イリョウ</t>
    </rPh>
    <rPh sb="12" eb="13">
      <t>イン</t>
    </rPh>
    <phoneticPr fontId="13"/>
  </si>
  <si>
    <t>愛媛県</t>
  </si>
  <si>
    <t>松前町</t>
  </si>
  <si>
    <t>府中市</t>
    <phoneticPr fontId="13"/>
  </si>
  <si>
    <t>介護予防短期入所療養介護 （医療院)</t>
    <rPh sb="14" eb="16">
      <t>イリョウ</t>
    </rPh>
    <rPh sb="16" eb="17">
      <t>イン</t>
    </rPh>
    <phoneticPr fontId="13"/>
  </si>
  <si>
    <t>高知県</t>
  </si>
  <si>
    <t>福島町</t>
  </si>
  <si>
    <t>小金井市</t>
  </si>
  <si>
    <t>訪問型サービス（独自）</t>
    <rPh sb="0" eb="2">
      <t>ホウモン</t>
    </rPh>
    <rPh sb="2" eb="3">
      <t>ガタ</t>
    </rPh>
    <rPh sb="8" eb="10">
      <t>ドクジ</t>
    </rPh>
    <phoneticPr fontId="91"/>
  </si>
  <si>
    <t>総合事業</t>
    <rPh sb="0" eb="2">
      <t>ソウゴウ</t>
    </rPh>
    <rPh sb="2" eb="4">
      <t>ジギョウ</t>
    </rPh>
    <phoneticPr fontId="13"/>
  </si>
  <si>
    <t>福岡県</t>
  </si>
  <si>
    <t>知内町</t>
  </si>
  <si>
    <t>小平市</t>
  </si>
  <si>
    <t>訪問型サービス（独自／定率）</t>
    <rPh sb="0" eb="2">
      <t>ホウモン</t>
    </rPh>
    <rPh sb="2" eb="3">
      <t>ガタ</t>
    </rPh>
    <rPh sb="8" eb="10">
      <t>ドクジ</t>
    </rPh>
    <rPh sb="11" eb="13">
      <t>テイリツ</t>
    </rPh>
    <phoneticPr fontId="91"/>
  </si>
  <si>
    <t>佐賀県</t>
  </si>
  <si>
    <t>木古内町</t>
  </si>
  <si>
    <t>日野市</t>
  </si>
  <si>
    <t>訪問型サービス（独自／定額）</t>
    <rPh sb="0" eb="2">
      <t>ホウモン</t>
    </rPh>
    <rPh sb="2" eb="3">
      <t>ガタ</t>
    </rPh>
    <rPh sb="8" eb="10">
      <t>ドクジ</t>
    </rPh>
    <rPh sb="11" eb="13">
      <t>テイガク</t>
    </rPh>
    <phoneticPr fontId="91"/>
  </si>
  <si>
    <t>長崎県</t>
  </si>
  <si>
    <t>七飯町</t>
  </si>
  <si>
    <t>東村山市</t>
    <rPh sb="0" eb="4">
      <t>ヒガシムラヤマシ</t>
    </rPh>
    <phoneticPr fontId="4"/>
  </si>
  <si>
    <t>通所型サービス（独自）</t>
    <rPh sb="0" eb="2">
      <t>ツウショ</t>
    </rPh>
    <rPh sb="2" eb="3">
      <t>ガタ</t>
    </rPh>
    <rPh sb="8" eb="10">
      <t>ドクジ</t>
    </rPh>
    <phoneticPr fontId="91"/>
  </si>
  <si>
    <t>熊本県</t>
  </si>
  <si>
    <t>鹿部町</t>
  </si>
  <si>
    <t>国分寺市</t>
  </si>
  <si>
    <t>通所型サービス（独自／定率）</t>
    <rPh sb="0" eb="2">
      <t>ツウショ</t>
    </rPh>
    <rPh sb="2" eb="3">
      <t>ガタ</t>
    </rPh>
    <rPh sb="8" eb="10">
      <t>ドクジ</t>
    </rPh>
    <rPh sb="11" eb="13">
      <t>テイリツ</t>
    </rPh>
    <phoneticPr fontId="91"/>
  </si>
  <si>
    <t>大分県</t>
  </si>
  <si>
    <t>森町</t>
  </si>
  <si>
    <t>国立市</t>
  </si>
  <si>
    <t>通所型サービス（独自／定額）</t>
    <rPh sb="0" eb="2">
      <t>ツウショ</t>
    </rPh>
    <rPh sb="2" eb="3">
      <t>ガタ</t>
    </rPh>
    <rPh sb="8" eb="10">
      <t>ドクジ</t>
    </rPh>
    <rPh sb="11" eb="13">
      <t>テイガク</t>
    </rPh>
    <phoneticPr fontId="91"/>
  </si>
  <si>
    <t>宮崎県</t>
  </si>
  <si>
    <t>八雲町</t>
  </si>
  <si>
    <t>清瀬市</t>
    <rPh sb="0" eb="3">
      <t>キヨセシ</t>
    </rPh>
    <phoneticPr fontId="4"/>
  </si>
  <si>
    <t>介護予防ケアマネジメント</t>
    <rPh sb="0" eb="2">
      <t>カイゴ</t>
    </rPh>
    <rPh sb="2" eb="4">
      <t>ヨボウ</t>
    </rPh>
    <phoneticPr fontId="13"/>
  </si>
  <si>
    <t>社会福祉連携推進法人に所属</t>
    <phoneticPr fontId="13"/>
  </si>
  <si>
    <t>鹿児島県</t>
  </si>
  <si>
    <t>長万部町</t>
  </si>
  <si>
    <t>東久留米市</t>
  </si>
  <si>
    <t>沖縄県</t>
  </si>
  <si>
    <t>江差町</t>
  </si>
  <si>
    <t>稲城市</t>
  </si>
  <si>
    <t>介護予防訪問看護</t>
  </si>
  <si>
    <t>上ノ国町</t>
  </si>
  <si>
    <t>西東京市</t>
  </si>
  <si>
    <t>訪問リハビリテーション</t>
  </si>
  <si>
    <t>厚沢部町</t>
  </si>
  <si>
    <t>鎌倉市</t>
  </si>
  <si>
    <t>介護予防訪問リハビリテーション</t>
  </si>
  <si>
    <t>乙部町</t>
  </si>
  <si>
    <t>厚木市</t>
  </si>
  <si>
    <t>居宅介護支援</t>
    <phoneticPr fontId="13"/>
  </si>
  <si>
    <t>奥尻町</t>
  </si>
  <si>
    <t>愛知県</t>
    <rPh sb="0" eb="3">
      <t>アイチケン</t>
    </rPh>
    <phoneticPr fontId="13"/>
  </si>
  <si>
    <t>名古屋市</t>
  </si>
  <si>
    <t>介護予防支援</t>
    <phoneticPr fontId="13"/>
  </si>
  <si>
    <t>今金町</t>
  </si>
  <si>
    <t>刈谷市</t>
  </si>
  <si>
    <t>せたな町</t>
  </si>
  <si>
    <t>豊田市</t>
  </si>
  <si>
    <t>島牧村</t>
  </si>
  <si>
    <t>守口市</t>
  </si>
  <si>
    <t>寿都町</t>
  </si>
  <si>
    <t>大東市</t>
  </si>
  <si>
    <t>黒松内町</t>
  </si>
  <si>
    <t>門真市</t>
  </si>
  <si>
    <t>蘭越町</t>
  </si>
  <si>
    <t>兵庫県</t>
    <rPh sb="0" eb="3">
      <t>ヒョウゴケン</t>
    </rPh>
    <phoneticPr fontId="13"/>
  </si>
  <si>
    <t>西宮市</t>
  </si>
  <si>
    <t>ニセコ町</t>
  </si>
  <si>
    <t>芦屋市</t>
  </si>
  <si>
    <t>真狩村</t>
  </si>
  <si>
    <t>宝塚市</t>
  </si>
  <si>
    <t>留寿都村</t>
  </si>
  <si>
    <t>4級地</t>
    <rPh sb="1" eb="3">
      <t>キュウチ</t>
    </rPh>
    <phoneticPr fontId="57"/>
  </si>
  <si>
    <t>牛久市</t>
  </si>
  <si>
    <t>喜茂別町</t>
  </si>
  <si>
    <t>朝霞市</t>
  </si>
  <si>
    <t>京極町</t>
  </si>
  <si>
    <t>志木市</t>
    <rPh sb="0" eb="3">
      <t>シキシ</t>
    </rPh>
    <phoneticPr fontId="2"/>
  </si>
  <si>
    <t>倶知安町</t>
  </si>
  <si>
    <t>和光市</t>
    <rPh sb="0" eb="3">
      <t>ワコウシ</t>
    </rPh>
    <phoneticPr fontId="2"/>
  </si>
  <si>
    <t>共和町</t>
  </si>
  <si>
    <t>船橋市</t>
  </si>
  <si>
    <t>岩内町</t>
  </si>
  <si>
    <t>成田市</t>
  </si>
  <si>
    <t>泊村</t>
  </si>
  <si>
    <t>習志野市</t>
  </si>
  <si>
    <t>神恵内村</t>
  </si>
  <si>
    <t>立川市</t>
  </si>
  <si>
    <t>積丹町</t>
  </si>
  <si>
    <t>昭島市</t>
  </si>
  <si>
    <t>古平町</t>
  </si>
  <si>
    <t>東大和市</t>
  </si>
  <si>
    <t>仁木町</t>
  </si>
  <si>
    <t>相模原市</t>
  </si>
  <si>
    <t>余市町</t>
  </si>
  <si>
    <t>横須賀市</t>
  </si>
  <si>
    <t>赤井川村</t>
  </si>
  <si>
    <t>藤沢市</t>
  </si>
  <si>
    <t>南幌町</t>
  </si>
  <si>
    <t>逗子市</t>
  </si>
  <si>
    <t>奈井江町</t>
  </si>
  <si>
    <t>三浦市</t>
  </si>
  <si>
    <t>上砂川町</t>
  </si>
  <si>
    <t>海老名市</t>
    <rPh sb="0" eb="4">
      <t>エビナシ</t>
    </rPh>
    <phoneticPr fontId="2"/>
  </si>
  <si>
    <t>由仁町</t>
  </si>
  <si>
    <t>豊中市</t>
  </si>
  <si>
    <t>長沼町</t>
  </si>
  <si>
    <t>池田市</t>
  </si>
  <si>
    <t>栗山町</t>
  </si>
  <si>
    <t>吹田市</t>
  </si>
  <si>
    <t>月形町</t>
  </si>
  <si>
    <t>高槻市</t>
  </si>
  <si>
    <t>浦臼町</t>
  </si>
  <si>
    <t>寝屋川市</t>
  </si>
  <si>
    <t>新十津川町</t>
  </si>
  <si>
    <t>箕面市</t>
  </si>
  <si>
    <t>妹背牛町</t>
  </si>
  <si>
    <t>四條畷市</t>
  </si>
  <si>
    <t>秩父別町</t>
  </si>
  <si>
    <t>神戸市</t>
  </si>
  <si>
    <t>雨竜町</t>
  </si>
  <si>
    <t>5級地</t>
    <rPh sb="1" eb="3">
      <t>キュウチ</t>
    </rPh>
    <phoneticPr fontId="57"/>
  </si>
  <si>
    <t>水戸市</t>
  </si>
  <si>
    <t>北竜町</t>
  </si>
  <si>
    <t>日立市</t>
  </si>
  <si>
    <t>沼田町</t>
  </si>
  <si>
    <t>龍ケ崎市</t>
  </si>
  <si>
    <t>鷹栖町</t>
  </si>
  <si>
    <t>取手市</t>
  </si>
  <si>
    <t>東神楽町</t>
  </si>
  <si>
    <t>つくば市</t>
  </si>
  <si>
    <t>当麻町</t>
  </si>
  <si>
    <t>守谷市</t>
  </si>
  <si>
    <t>比布町</t>
  </si>
  <si>
    <t>川口市</t>
  </si>
  <si>
    <t>愛別町</t>
  </si>
  <si>
    <t>草加市</t>
  </si>
  <si>
    <t>上川町</t>
  </si>
  <si>
    <t>戸田市</t>
  </si>
  <si>
    <t>東川町</t>
  </si>
  <si>
    <t>新座市</t>
  </si>
  <si>
    <t>美瑛町</t>
  </si>
  <si>
    <t>八潮市</t>
  </si>
  <si>
    <t>上富良野町</t>
  </si>
  <si>
    <t>ふじみ野市</t>
  </si>
  <si>
    <t>中富良野町</t>
  </si>
  <si>
    <t>市川市</t>
  </si>
  <si>
    <t>南富良野町</t>
  </si>
  <si>
    <t>松戸市</t>
  </si>
  <si>
    <t>占冠村</t>
  </si>
  <si>
    <t>佐倉市</t>
  </si>
  <si>
    <t>和寒町</t>
  </si>
  <si>
    <t>市原市</t>
  </si>
  <si>
    <t>剣淵町</t>
  </si>
  <si>
    <t>千葉県</t>
    <phoneticPr fontId="13"/>
  </si>
  <si>
    <t>八千代市</t>
  </si>
  <si>
    <t>下川町</t>
  </si>
  <si>
    <t>四街道市</t>
  </si>
  <si>
    <t>美深町</t>
  </si>
  <si>
    <t>袖ケ浦市</t>
  </si>
  <si>
    <t>音威子府村</t>
  </si>
  <si>
    <t>印西市</t>
  </si>
  <si>
    <t>中川町</t>
  </si>
  <si>
    <t>栄町</t>
  </si>
  <si>
    <t>幌加内町</t>
  </si>
  <si>
    <t>福生市</t>
    <rPh sb="0" eb="3">
      <t>フッサシ</t>
    </rPh>
    <phoneticPr fontId="2"/>
  </si>
  <si>
    <t>増毛町</t>
  </si>
  <si>
    <t>あきる野市</t>
  </si>
  <si>
    <t>小平町</t>
  </si>
  <si>
    <t>日の出町</t>
  </si>
  <si>
    <t>苫前町</t>
  </si>
  <si>
    <t>平塚市</t>
  </si>
  <si>
    <t>羽幌町</t>
  </si>
  <si>
    <t>小田原市</t>
  </si>
  <si>
    <t>初山別村</t>
  </si>
  <si>
    <t>茅ヶ崎市</t>
  </si>
  <si>
    <t>遠別町</t>
  </si>
  <si>
    <t>大和市</t>
  </si>
  <si>
    <t>天塩町</t>
  </si>
  <si>
    <t>伊勢原市</t>
  </si>
  <si>
    <t>猿払村</t>
  </si>
  <si>
    <t>座間市</t>
  </si>
  <si>
    <t>浜頓別町</t>
  </si>
  <si>
    <t>綾瀬市</t>
  </si>
  <si>
    <t>中頓別町</t>
  </si>
  <si>
    <t>葉山町</t>
  </si>
  <si>
    <t>枝幸町</t>
  </si>
  <si>
    <t>寒川町</t>
  </si>
  <si>
    <t>豊富町</t>
  </si>
  <si>
    <t>愛川町</t>
  </si>
  <si>
    <t>礼文町</t>
  </si>
  <si>
    <t>愛知県</t>
    <rPh sb="0" eb="3">
      <t>アイチケン</t>
    </rPh>
    <phoneticPr fontId="57"/>
  </si>
  <si>
    <t>知立市</t>
  </si>
  <si>
    <t>利尻町</t>
  </si>
  <si>
    <t>豊明市</t>
  </si>
  <si>
    <t>利尻富士町</t>
  </si>
  <si>
    <t>みよし市</t>
    <rPh sb="3" eb="4">
      <t>シ</t>
    </rPh>
    <phoneticPr fontId="2"/>
  </si>
  <si>
    <t>幌延町</t>
  </si>
  <si>
    <t>大津市</t>
  </si>
  <si>
    <t>美幌町</t>
  </si>
  <si>
    <t>草津市</t>
  </si>
  <si>
    <t>津別町</t>
  </si>
  <si>
    <t>栗東市</t>
    <rPh sb="0" eb="3">
      <t>リットウシ</t>
    </rPh>
    <phoneticPr fontId="2"/>
  </si>
  <si>
    <t>斜里町</t>
  </si>
  <si>
    <t>京都市</t>
  </si>
  <si>
    <t>清里町</t>
  </si>
  <si>
    <t>長岡京市</t>
  </si>
  <si>
    <t>小清水町</t>
  </si>
  <si>
    <t>堺市</t>
  </si>
  <si>
    <t>訓子府町</t>
  </si>
  <si>
    <t>枚方市</t>
  </si>
  <si>
    <t>置戸町</t>
  </si>
  <si>
    <t>茨木市</t>
  </si>
  <si>
    <t>佐呂間町</t>
  </si>
  <si>
    <t>八尾市</t>
  </si>
  <si>
    <t>遠軽町</t>
  </si>
  <si>
    <t>松原市</t>
  </si>
  <si>
    <t>湧別町</t>
  </si>
  <si>
    <t>摂津市</t>
  </si>
  <si>
    <t>滝上町</t>
  </si>
  <si>
    <t>高石市</t>
  </si>
  <si>
    <t>興部町</t>
  </si>
  <si>
    <t>東大阪市</t>
  </si>
  <si>
    <t>西興部村</t>
  </si>
  <si>
    <t>交野市</t>
  </si>
  <si>
    <t>雄武町</t>
  </si>
  <si>
    <t>尼崎市</t>
  </si>
  <si>
    <t>大空町</t>
  </si>
  <si>
    <t>伊丹市</t>
  </si>
  <si>
    <t>豊浦町</t>
  </si>
  <si>
    <t>川西市</t>
  </si>
  <si>
    <t>壮瞥町</t>
  </si>
  <si>
    <t>三田市</t>
  </si>
  <si>
    <t>白老町</t>
  </si>
  <si>
    <t>広島市</t>
  </si>
  <si>
    <t>厚真町</t>
  </si>
  <si>
    <t>府中町</t>
  </si>
  <si>
    <t>洞爺湖町</t>
  </si>
  <si>
    <t>福岡市</t>
    <rPh sb="0" eb="3">
      <t>フクオカシ</t>
    </rPh>
    <phoneticPr fontId="2"/>
  </si>
  <si>
    <t>安平町</t>
  </si>
  <si>
    <t>春日市</t>
    <rPh sb="0" eb="3">
      <t>カスガシ</t>
    </rPh>
    <phoneticPr fontId="2"/>
  </si>
  <si>
    <t>むかわ町</t>
  </si>
  <si>
    <t>6級地</t>
    <rPh sb="1" eb="3">
      <t>キュウチ</t>
    </rPh>
    <phoneticPr fontId="57"/>
  </si>
  <si>
    <t>仙台市</t>
  </si>
  <si>
    <t>日高町</t>
  </si>
  <si>
    <t>多賀城市</t>
    <rPh sb="0" eb="4">
      <t>タガジョウシ</t>
    </rPh>
    <phoneticPr fontId="2"/>
  </si>
  <si>
    <t>平取町</t>
  </si>
  <si>
    <t>土浦市</t>
  </si>
  <si>
    <t>新冠町</t>
  </si>
  <si>
    <t>古河市</t>
  </si>
  <si>
    <t>浦河町</t>
  </si>
  <si>
    <t>利根町</t>
  </si>
  <si>
    <t>様似町</t>
  </si>
  <si>
    <t>宇都宮市</t>
  </si>
  <si>
    <t>えりも町</t>
  </si>
  <si>
    <t>野木町</t>
  </si>
  <si>
    <t>新ひだか町</t>
  </si>
  <si>
    <t>高崎市</t>
  </si>
  <si>
    <t>音更町</t>
  </si>
  <si>
    <t>川越市</t>
  </si>
  <si>
    <t>士幌町</t>
  </si>
  <si>
    <t>行田市</t>
  </si>
  <si>
    <t>上士幌町</t>
  </si>
  <si>
    <t>所沢市</t>
  </si>
  <si>
    <t>鹿追町</t>
  </si>
  <si>
    <t>飯能市</t>
    <rPh sb="0" eb="3">
      <t>ハンノウシ</t>
    </rPh>
    <phoneticPr fontId="2"/>
  </si>
  <si>
    <t>新得町</t>
  </si>
  <si>
    <t>加須市</t>
  </si>
  <si>
    <t>清水町</t>
  </si>
  <si>
    <t>東松山市</t>
  </si>
  <si>
    <t>芽室町</t>
  </si>
  <si>
    <t>春日部市</t>
  </si>
  <si>
    <t>中札内村</t>
  </si>
  <si>
    <t>狭山市</t>
  </si>
  <si>
    <t>更別村</t>
  </si>
  <si>
    <t>羽生市</t>
  </si>
  <si>
    <t>大樹町</t>
  </si>
  <si>
    <t>鴻巣市</t>
  </si>
  <si>
    <t>広尾町</t>
  </si>
  <si>
    <t>上尾市</t>
  </si>
  <si>
    <t>幕別町</t>
  </si>
  <si>
    <t>越谷市</t>
  </si>
  <si>
    <t>池田町</t>
  </si>
  <si>
    <t>蕨市</t>
  </si>
  <si>
    <t>豊頃町</t>
  </si>
  <si>
    <t>入間市</t>
  </si>
  <si>
    <t>本別町</t>
  </si>
  <si>
    <t>桶川市</t>
  </si>
  <si>
    <t>足寄町</t>
  </si>
  <si>
    <t>久喜市</t>
  </si>
  <si>
    <t>陸別町</t>
  </si>
  <si>
    <t>北本市</t>
  </si>
  <si>
    <t>浦幌町</t>
  </si>
  <si>
    <t>富士見市</t>
  </si>
  <si>
    <t>釧路町</t>
  </si>
  <si>
    <t>三郷市</t>
  </si>
  <si>
    <t>厚岸町</t>
  </si>
  <si>
    <t>蓮田市</t>
  </si>
  <si>
    <t>浜中町</t>
  </si>
  <si>
    <t>坂戸市</t>
  </si>
  <si>
    <t>標茶町</t>
  </si>
  <si>
    <t>幸手市</t>
  </si>
  <si>
    <t>弟子屈町</t>
  </si>
  <si>
    <t>鶴ヶ島市</t>
  </si>
  <si>
    <t>鶴居村</t>
  </si>
  <si>
    <t>吉川市</t>
  </si>
  <si>
    <t>白糠町</t>
  </si>
  <si>
    <t>白岡市</t>
    <rPh sb="0" eb="2">
      <t>シラオカ</t>
    </rPh>
    <rPh sb="2" eb="3">
      <t>シ</t>
    </rPh>
    <phoneticPr fontId="2"/>
  </si>
  <si>
    <t>別海町</t>
  </si>
  <si>
    <t>伊奈町</t>
  </si>
  <si>
    <t>中標津町</t>
  </si>
  <si>
    <t>三芳町</t>
  </si>
  <si>
    <t>標津町</t>
  </si>
  <si>
    <t>宮代町</t>
  </si>
  <si>
    <t>羅臼町</t>
  </si>
  <si>
    <t>杉戸町</t>
  </si>
  <si>
    <t>色丹村</t>
    <rPh sb="0" eb="3">
      <t>シコタンムラ</t>
    </rPh>
    <phoneticPr fontId="6"/>
  </si>
  <si>
    <t>松伏町</t>
  </si>
  <si>
    <t>泊村</t>
    <rPh sb="0" eb="2">
      <t>トマリムラ</t>
    </rPh>
    <phoneticPr fontId="6"/>
  </si>
  <si>
    <t>木更津市</t>
  </si>
  <si>
    <t>留夜別村</t>
  </si>
  <si>
    <t>野田市</t>
  </si>
  <si>
    <t>留別村</t>
  </si>
  <si>
    <t>茂原市</t>
  </si>
  <si>
    <t>紗那村</t>
  </si>
  <si>
    <t>柏市</t>
  </si>
  <si>
    <t>蘂取村</t>
  </si>
  <si>
    <t>流山市</t>
  </si>
  <si>
    <t>青森市</t>
  </si>
  <si>
    <t>我孫子市</t>
  </si>
  <si>
    <t>弘前市</t>
  </si>
  <si>
    <t>鎌ケ谷市</t>
  </si>
  <si>
    <t>八戸市</t>
  </si>
  <si>
    <t>白井市</t>
  </si>
  <si>
    <t>黒石市</t>
  </si>
  <si>
    <t>酒々井町</t>
  </si>
  <si>
    <t>五所川原市</t>
  </si>
  <si>
    <t>武蔵村山市</t>
  </si>
  <si>
    <t>十和田市</t>
  </si>
  <si>
    <t>羽村市</t>
  </si>
  <si>
    <t>三沢市</t>
  </si>
  <si>
    <t>瑞穂町</t>
    <rPh sb="0" eb="3">
      <t>ミズホマチ</t>
    </rPh>
    <phoneticPr fontId="2"/>
  </si>
  <si>
    <t>むつ市</t>
  </si>
  <si>
    <t>奥多摩町</t>
  </si>
  <si>
    <t>つがる市</t>
  </si>
  <si>
    <t>檜原村</t>
  </si>
  <si>
    <t>平川市</t>
  </si>
  <si>
    <t>秦野市</t>
  </si>
  <si>
    <t>平内町</t>
  </si>
  <si>
    <t>大磯町</t>
  </si>
  <si>
    <t>今別町</t>
  </si>
  <si>
    <t>二宮町</t>
  </si>
  <si>
    <t>蓬田村</t>
  </si>
  <si>
    <t>中井町</t>
    <rPh sb="0" eb="2">
      <t>ナカイ</t>
    </rPh>
    <phoneticPr fontId="2"/>
  </si>
  <si>
    <t>外ヶ浜町</t>
  </si>
  <si>
    <t>清川村</t>
  </si>
  <si>
    <t>鰺ヶ沢町</t>
  </si>
  <si>
    <t>岐阜市</t>
  </si>
  <si>
    <t>深浦町</t>
  </si>
  <si>
    <t>静岡市</t>
  </si>
  <si>
    <t>西目屋村</t>
  </si>
  <si>
    <t>岡崎市</t>
  </si>
  <si>
    <t>藤崎町</t>
  </si>
  <si>
    <t>一宮市</t>
  </si>
  <si>
    <t>大鰐町</t>
  </si>
  <si>
    <t>瀬戸市</t>
    <rPh sb="0" eb="3">
      <t>セトシ</t>
    </rPh>
    <phoneticPr fontId="2"/>
  </si>
  <si>
    <t>田舎館村</t>
  </si>
  <si>
    <t>春日井市</t>
  </si>
  <si>
    <t>板柳町</t>
  </si>
  <si>
    <t>津島市</t>
  </si>
  <si>
    <t>鶴田町</t>
  </si>
  <si>
    <t>碧南市</t>
  </si>
  <si>
    <t>中泊町</t>
  </si>
  <si>
    <t>安城市</t>
  </si>
  <si>
    <t>野辺地町</t>
  </si>
  <si>
    <t>西尾市</t>
  </si>
  <si>
    <t>七戸町</t>
  </si>
  <si>
    <t>犬山市</t>
  </si>
  <si>
    <t>六戸町</t>
  </si>
  <si>
    <t>江南市</t>
  </si>
  <si>
    <t>横浜町</t>
  </si>
  <si>
    <t>稲沢市</t>
  </si>
  <si>
    <t>東北町</t>
  </si>
  <si>
    <t>尾張旭市</t>
  </si>
  <si>
    <t>六ヶ所村</t>
  </si>
  <si>
    <t>岩倉市</t>
  </si>
  <si>
    <t>おいらせ町</t>
  </si>
  <si>
    <t>日進市</t>
  </si>
  <si>
    <t>大間町</t>
  </si>
  <si>
    <t>愛西市</t>
  </si>
  <si>
    <t>東通村</t>
  </si>
  <si>
    <t>清須市</t>
    <rPh sb="0" eb="3">
      <t>キヨスシ</t>
    </rPh>
    <phoneticPr fontId="2"/>
  </si>
  <si>
    <t>風間浦村</t>
  </si>
  <si>
    <t>北名古屋市</t>
  </si>
  <si>
    <t>佐井村</t>
  </si>
  <si>
    <t>弥富市</t>
  </si>
  <si>
    <t>三戸町</t>
  </si>
  <si>
    <t>あま市</t>
  </si>
  <si>
    <t>五戸町</t>
  </si>
  <si>
    <t>長久手市</t>
  </si>
  <si>
    <t>田子町</t>
  </si>
  <si>
    <t>東郷町</t>
  </si>
  <si>
    <t>南部町</t>
  </si>
  <si>
    <t>大治町</t>
  </si>
  <si>
    <t>階上町</t>
  </si>
  <si>
    <t>蟹江町</t>
  </si>
  <si>
    <t>新郷村</t>
  </si>
  <si>
    <t>豊山町</t>
    <rPh sb="0" eb="2">
      <t>トヨヤマ</t>
    </rPh>
    <rPh sb="2" eb="3">
      <t>マチ</t>
    </rPh>
    <phoneticPr fontId="2"/>
  </si>
  <si>
    <t>盛岡市</t>
  </si>
  <si>
    <t>飛島村</t>
    <rPh sb="0" eb="3">
      <t>トビシマムラ</t>
    </rPh>
    <phoneticPr fontId="2"/>
  </si>
  <si>
    <t>宮古市</t>
  </si>
  <si>
    <t>津市</t>
  </si>
  <si>
    <t>大船渡市</t>
  </si>
  <si>
    <t>四日市市</t>
  </si>
  <si>
    <t>花巻市</t>
  </si>
  <si>
    <t>桑名市</t>
  </si>
  <si>
    <t>北上市</t>
  </si>
  <si>
    <t>鈴鹿市</t>
  </si>
  <si>
    <t>久慈市</t>
  </si>
  <si>
    <t>亀山市</t>
  </si>
  <si>
    <t>遠野市</t>
  </si>
  <si>
    <t>彦根市</t>
  </si>
  <si>
    <t>一関市</t>
  </si>
  <si>
    <t>守山市</t>
  </si>
  <si>
    <t>陸前高田市</t>
  </si>
  <si>
    <t>甲賀市</t>
  </si>
  <si>
    <t>釜石市</t>
  </si>
  <si>
    <t>宇治市</t>
  </si>
  <si>
    <t>二戸市</t>
  </si>
  <si>
    <t>亀岡市</t>
  </si>
  <si>
    <t>八幡平市</t>
  </si>
  <si>
    <t>城陽市</t>
  </si>
  <si>
    <t>奥州市</t>
  </si>
  <si>
    <t>向日市</t>
  </si>
  <si>
    <t>滝沢市</t>
    <rPh sb="2" eb="3">
      <t>シ</t>
    </rPh>
    <phoneticPr fontId="6"/>
  </si>
  <si>
    <t>八幡市</t>
  </si>
  <si>
    <t>雫石町</t>
  </si>
  <si>
    <t>京田辺市</t>
  </si>
  <si>
    <t>葛巻町</t>
  </si>
  <si>
    <t>木津川市</t>
  </si>
  <si>
    <t>岩手町</t>
  </si>
  <si>
    <t>大山崎町</t>
  </si>
  <si>
    <t>紫波町</t>
  </si>
  <si>
    <t>精華町</t>
  </si>
  <si>
    <t>矢巾町</t>
  </si>
  <si>
    <t>岸和田市</t>
  </si>
  <si>
    <t>西和賀町</t>
  </si>
  <si>
    <t>泉大津市</t>
  </si>
  <si>
    <t>金ケ崎町</t>
  </si>
  <si>
    <t>貝塚市</t>
  </si>
  <si>
    <t>平泉町</t>
  </si>
  <si>
    <t>泉佐野市</t>
  </si>
  <si>
    <t>住田町</t>
  </si>
  <si>
    <t>富田林市</t>
  </si>
  <si>
    <t>大槌町</t>
  </si>
  <si>
    <t>河内長野市</t>
  </si>
  <si>
    <t>山田町</t>
  </si>
  <si>
    <t>和泉市</t>
  </si>
  <si>
    <t>岩泉町</t>
  </si>
  <si>
    <t>柏原市</t>
  </si>
  <si>
    <t>田野畑村</t>
  </si>
  <si>
    <t>羽曳野市</t>
  </si>
  <si>
    <t>普代村</t>
  </si>
  <si>
    <t>藤井寺市</t>
  </si>
  <si>
    <t>軽米町</t>
  </si>
  <si>
    <t>泉南市</t>
  </si>
  <si>
    <t>野田村</t>
  </si>
  <si>
    <t>大阪狭山市</t>
  </si>
  <si>
    <t>九戸村</t>
  </si>
  <si>
    <t>阪南市</t>
  </si>
  <si>
    <t>洋野町</t>
  </si>
  <si>
    <t>島本町</t>
  </si>
  <si>
    <t>一戸町</t>
  </si>
  <si>
    <t>豊能町</t>
  </si>
  <si>
    <t>能勢町</t>
  </si>
  <si>
    <t>石巻市</t>
  </si>
  <si>
    <t>忠岡町</t>
  </si>
  <si>
    <t>塩竈市</t>
  </si>
  <si>
    <t>熊取町</t>
  </si>
  <si>
    <t>気仙沼市</t>
  </si>
  <si>
    <t>田尻町</t>
  </si>
  <si>
    <t>白石市</t>
  </si>
  <si>
    <t>岬町</t>
  </si>
  <si>
    <t>名取市</t>
  </si>
  <si>
    <t>太子町</t>
    <phoneticPr fontId="13"/>
  </si>
  <si>
    <t>角田市</t>
  </si>
  <si>
    <t>河南町</t>
  </si>
  <si>
    <t>多賀城市</t>
  </si>
  <si>
    <t>千早赤阪村</t>
  </si>
  <si>
    <t>岩沼市</t>
  </si>
  <si>
    <t>明石市</t>
  </si>
  <si>
    <t>登米市</t>
  </si>
  <si>
    <t>猪名川町</t>
  </si>
  <si>
    <t>栗原市</t>
  </si>
  <si>
    <t>奈良市</t>
  </si>
  <si>
    <t>東松島市</t>
  </si>
  <si>
    <t>大和郡山市</t>
  </si>
  <si>
    <t>大崎市</t>
  </si>
  <si>
    <t>生駒市</t>
  </si>
  <si>
    <t>富谷市</t>
    <rPh sb="2" eb="3">
      <t>シ</t>
    </rPh>
    <phoneticPr fontId="6"/>
  </si>
  <si>
    <t>和歌山市</t>
  </si>
  <si>
    <t>蔵王町</t>
  </si>
  <si>
    <t>橋本市</t>
  </si>
  <si>
    <t>七ヶ宿町</t>
  </si>
  <si>
    <t>大野城市</t>
  </si>
  <si>
    <t>大河原町</t>
  </si>
  <si>
    <t>太宰府市</t>
  </si>
  <si>
    <t>村田町</t>
  </si>
  <si>
    <t>福津市</t>
  </si>
  <si>
    <t>柴田町</t>
  </si>
  <si>
    <t>糸島市</t>
  </si>
  <si>
    <t>川崎町</t>
  </si>
  <si>
    <t>那珂川市</t>
    <rPh sb="3" eb="4">
      <t>シ</t>
    </rPh>
    <phoneticPr fontId="2"/>
  </si>
  <si>
    <t>丸森町</t>
  </si>
  <si>
    <t>粕屋町</t>
  </si>
  <si>
    <t>亘理町</t>
  </si>
  <si>
    <t>7級地</t>
    <rPh sb="1" eb="3">
      <t>キュウチ</t>
    </rPh>
    <phoneticPr fontId="57"/>
  </si>
  <si>
    <t>山元町</t>
  </si>
  <si>
    <t>結城市</t>
  </si>
  <si>
    <t>松島町</t>
  </si>
  <si>
    <t>下妻市</t>
  </si>
  <si>
    <t>七ヶ浜町</t>
  </si>
  <si>
    <t>常総市</t>
  </si>
  <si>
    <t>利府町</t>
  </si>
  <si>
    <t>笠間市</t>
  </si>
  <si>
    <t>大和町</t>
  </si>
  <si>
    <t>ひたちなか市</t>
  </si>
  <si>
    <t>大郷町</t>
  </si>
  <si>
    <t>那珂市</t>
  </si>
  <si>
    <t>大衡村</t>
  </si>
  <si>
    <t>筑西市</t>
  </si>
  <si>
    <t>色麻町</t>
  </si>
  <si>
    <t>坂東市</t>
  </si>
  <si>
    <t>加美町</t>
  </si>
  <si>
    <t>稲敷市</t>
  </si>
  <si>
    <t>涌谷町</t>
  </si>
  <si>
    <t>つくばみらい市</t>
  </si>
  <si>
    <t>美里町</t>
  </si>
  <si>
    <t>大洗町</t>
  </si>
  <si>
    <t>女川町</t>
  </si>
  <si>
    <t>阿見町</t>
  </si>
  <si>
    <t>南三陸町</t>
  </si>
  <si>
    <t>河内町</t>
  </si>
  <si>
    <t>秋田市</t>
  </si>
  <si>
    <t>八千代町</t>
  </si>
  <si>
    <t>能代市</t>
  </si>
  <si>
    <t>五霞町</t>
  </si>
  <si>
    <t>横手市</t>
  </si>
  <si>
    <t>境町</t>
  </si>
  <si>
    <t>大館市</t>
  </si>
  <si>
    <t>栃木市</t>
  </si>
  <si>
    <t>男鹿市</t>
  </si>
  <si>
    <t>鹿沼市</t>
  </si>
  <si>
    <t>湯沢市</t>
  </si>
  <si>
    <t>日光市</t>
  </si>
  <si>
    <t>鹿角市</t>
  </si>
  <si>
    <t>小山市</t>
  </si>
  <si>
    <t>由利本荘市</t>
  </si>
  <si>
    <t>真岡市</t>
  </si>
  <si>
    <t>潟上市</t>
  </si>
  <si>
    <t>大田原市</t>
  </si>
  <si>
    <t>大仙市</t>
  </si>
  <si>
    <t>さくら市</t>
  </si>
  <si>
    <t>北秋田市</t>
  </si>
  <si>
    <t>下野市</t>
  </si>
  <si>
    <t>にかほ市</t>
  </si>
  <si>
    <t>壬生町</t>
  </si>
  <si>
    <t>仙北市</t>
  </si>
  <si>
    <t>前橋市</t>
  </si>
  <si>
    <t>小坂町</t>
  </si>
  <si>
    <t>伊勢崎市</t>
  </si>
  <si>
    <t>上小阿仁村</t>
  </si>
  <si>
    <t>太田市</t>
  </si>
  <si>
    <t>藤里町</t>
  </si>
  <si>
    <t>渋川市</t>
  </si>
  <si>
    <t>三種町</t>
  </si>
  <si>
    <t>榛東村</t>
    <rPh sb="0" eb="3">
      <t>シントウムラ</t>
    </rPh>
    <phoneticPr fontId="2"/>
  </si>
  <si>
    <t>八峰町</t>
  </si>
  <si>
    <t>吉岡町</t>
    <rPh sb="0" eb="3">
      <t>ヨシオカチョウ</t>
    </rPh>
    <phoneticPr fontId="2"/>
  </si>
  <si>
    <t>五城目町</t>
  </si>
  <si>
    <t>玉村町</t>
  </si>
  <si>
    <t>八郎潟町</t>
  </si>
  <si>
    <t>熊谷市</t>
  </si>
  <si>
    <t>井川町</t>
  </si>
  <si>
    <t>深谷市</t>
  </si>
  <si>
    <t>大潟村</t>
  </si>
  <si>
    <t>日高市</t>
  </si>
  <si>
    <t>美郷町</t>
  </si>
  <si>
    <t>毛呂山町</t>
  </si>
  <si>
    <t>羽後町</t>
  </si>
  <si>
    <t>越生町</t>
  </si>
  <si>
    <t>東成瀬村</t>
  </si>
  <si>
    <t>滑川町</t>
  </si>
  <si>
    <t>山形市</t>
  </si>
  <si>
    <t>川島町</t>
  </si>
  <si>
    <t>米沢市</t>
  </si>
  <si>
    <t>吉見町</t>
  </si>
  <si>
    <t>鶴岡市</t>
  </si>
  <si>
    <t>鳩山町</t>
  </si>
  <si>
    <t>酒田市</t>
  </si>
  <si>
    <t>寄居町</t>
  </si>
  <si>
    <t>新庄市</t>
  </si>
  <si>
    <t>東金市</t>
  </si>
  <si>
    <t>寒河江市</t>
  </si>
  <si>
    <t>君津市</t>
  </si>
  <si>
    <t>上山市</t>
  </si>
  <si>
    <t>富津市</t>
  </si>
  <si>
    <t>村山市</t>
  </si>
  <si>
    <t>八街市</t>
  </si>
  <si>
    <t>長井市</t>
  </si>
  <si>
    <t>富里市</t>
    <rPh sb="0" eb="3">
      <t>トミサトシ</t>
    </rPh>
    <phoneticPr fontId="2"/>
  </si>
  <si>
    <t>天童市</t>
  </si>
  <si>
    <t>山武市</t>
  </si>
  <si>
    <t>東根市</t>
  </si>
  <si>
    <t>大網白里市</t>
    <rPh sb="4" eb="5">
      <t>シ</t>
    </rPh>
    <phoneticPr fontId="2"/>
  </si>
  <si>
    <t>尾花沢市</t>
  </si>
  <si>
    <t>長柄町</t>
  </si>
  <si>
    <t>南陽市</t>
  </si>
  <si>
    <t>長南町</t>
  </si>
  <si>
    <t>山辺町</t>
  </si>
  <si>
    <t>南足柄市</t>
    <rPh sb="0" eb="3">
      <t>ミナミアシガラ</t>
    </rPh>
    <rPh sb="3" eb="4">
      <t>シ</t>
    </rPh>
    <phoneticPr fontId="2"/>
  </si>
  <si>
    <t>中山町</t>
  </si>
  <si>
    <t>山北町</t>
    <rPh sb="0" eb="3">
      <t>ヤマキタマチ</t>
    </rPh>
    <phoneticPr fontId="2"/>
  </si>
  <si>
    <t>河北町</t>
  </si>
  <si>
    <t>箱根町</t>
  </si>
  <si>
    <t>西川町</t>
  </si>
  <si>
    <t>新潟市</t>
  </si>
  <si>
    <t>朝日町</t>
  </si>
  <si>
    <t>富山市</t>
  </si>
  <si>
    <t>大江町</t>
  </si>
  <si>
    <t>金沢市</t>
  </si>
  <si>
    <t>大石田町</t>
  </si>
  <si>
    <t>内灘町</t>
  </si>
  <si>
    <t>金山町</t>
  </si>
  <si>
    <t>福井市</t>
  </si>
  <si>
    <t>最上町</t>
  </si>
  <si>
    <t>甲府市</t>
  </si>
  <si>
    <t>舟形町</t>
  </si>
  <si>
    <t>南アルプス市</t>
    <rPh sb="0" eb="1">
      <t>ミナミ</t>
    </rPh>
    <rPh sb="5" eb="6">
      <t>シ</t>
    </rPh>
    <phoneticPr fontId="2"/>
  </si>
  <si>
    <t>真室川町</t>
  </si>
  <si>
    <t>南部町</t>
    <rPh sb="0" eb="3">
      <t>ナンブチョウ</t>
    </rPh>
    <phoneticPr fontId="2"/>
  </si>
  <si>
    <t>大蔵村</t>
  </si>
  <si>
    <t>長野市</t>
  </si>
  <si>
    <t>鮭川村</t>
  </si>
  <si>
    <t>松本市</t>
  </si>
  <si>
    <t>戸沢村</t>
  </si>
  <si>
    <t>塩尻市</t>
  </si>
  <si>
    <t>高畠町</t>
  </si>
  <si>
    <t>大垣市</t>
  </si>
  <si>
    <t>川西町</t>
  </si>
  <si>
    <t>多治見市</t>
  </si>
  <si>
    <t>小国町</t>
  </si>
  <si>
    <t>美濃加茂市</t>
    <rPh sb="0" eb="5">
      <t>ミノカモシ</t>
    </rPh>
    <phoneticPr fontId="2"/>
  </si>
  <si>
    <t>白鷹町</t>
  </si>
  <si>
    <t>各務原市</t>
  </si>
  <si>
    <t>飯豊町</t>
  </si>
  <si>
    <t>可児市</t>
  </si>
  <si>
    <t>三川町</t>
  </si>
  <si>
    <t>浜松市</t>
  </si>
  <si>
    <t>庄内町</t>
  </si>
  <si>
    <t>沼津市</t>
  </si>
  <si>
    <t>遊佐町</t>
  </si>
  <si>
    <t>三島市</t>
  </si>
  <si>
    <t>福島市</t>
  </si>
  <si>
    <t>富士宮市</t>
  </si>
  <si>
    <t>会津若松市</t>
  </si>
  <si>
    <t>島田市</t>
  </si>
  <si>
    <t>郡山市</t>
  </si>
  <si>
    <t>富士市</t>
  </si>
  <si>
    <t>いわき市</t>
  </si>
  <si>
    <t>磐田市</t>
  </si>
  <si>
    <t>白河市</t>
  </si>
  <si>
    <t>焼津市</t>
  </si>
  <si>
    <t>須賀川市</t>
  </si>
  <si>
    <t>掛川市</t>
  </si>
  <si>
    <t>喜多方市</t>
  </si>
  <si>
    <t>藤枝市</t>
  </si>
  <si>
    <t>相馬市</t>
  </si>
  <si>
    <t>御殿場市</t>
  </si>
  <si>
    <t>二本松市</t>
  </si>
  <si>
    <t>袋井市</t>
  </si>
  <si>
    <t>田村市</t>
  </si>
  <si>
    <t>裾野市</t>
  </si>
  <si>
    <t>南相馬市</t>
  </si>
  <si>
    <t>函南町</t>
  </si>
  <si>
    <t>清水町</t>
    <phoneticPr fontId="13"/>
  </si>
  <si>
    <t>本宮市</t>
  </si>
  <si>
    <t>長泉町</t>
  </si>
  <si>
    <t>桑折町</t>
  </si>
  <si>
    <t>小山町</t>
  </si>
  <si>
    <t>国見町</t>
  </si>
  <si>
    <t>川根本町</t>
  </si>
  <si>
    <t>川俣町</t>
  </si>
  <si>
    <t>森町</t>
    <phoneticPr fontId="13"/>
  </si>
  <si>
    <t>大玉村</t>
  </si>
  <si>
    <t>豊橋市</t>
  </si>
  <si>
    <t>鏡石町</t>
  </si>
  <si>
    <t>半田市</t>
  </si>
  <si>
    <t>天栄村</t>
  </si>
  <si>
    <t>豊川市</t>
  </si>
  <si>
    <t>下郷町</t>
  </si>
  <si>
    <t>蒲郡市</t>
  </si>
  <si>
    <t>檜枝岐村</t>
  </si>
  <si>
    <t>常滑市</t>
  </si>
  <si>
    <t>只見町</t>
  </si>
  <si>
    <t>小牧市</t>
  </si>
  <si>
    <t>南会津町</t>
  </si>
  <si>
    <t>新城市</t>
  </si>
  <si>
    <t>北塩原村</t>
  </si>
  <si>
    <t>東海市</t>
  </si>
  <si>
    <t>西会津町</t>
  </si>
  <si>
    <t>大府市</t>
  </si>
  <si>
    <t>磐梯町</t>
  </si>
  <si>
    <t>知多市</t>
  </si>
  <si>
    <t>猪苗代町</t>
  </si>
  <si>
    <t>高浜市</t>
  </si>
  <si>
    <t>会津坂下町</t>
  </si>
  <si>
    <t>田原市</t>
  </si>
  <si>
    <t>湯川村</t>
  </si>
  <si>
    <t>大口町</t>
  </si>
  <si>
    <t>柳津町</t>
  </si>
  <si>
    <t>扶桑町</t>
  </si>
  <si>
    <t>三島町</t>
  </si>
  <si>
    <t>阿久比町</t>
  </si>
  <si>
    <t>東浦町</t>
  </si>
  <si>
    <t>昭和村</t>
  </si>
  <si>
    <t>武豊町</t>
    <rPh sb="0" eb="3">
      <t>タケトヨチョウ</t>
    </rPh>
    <phoneticPr fontId="2"/>
  </si>
  <si>
    <t>会津美里町</t>
  </si>
  <si>
    <t>幸田町</t>
  </si>
  <si>
    <t>西郷村</t>
  </si>
  <si>
    <t>設楽町</t>
  </si>
  <si>
    <t>泉崎村</t>
  </si>
  <si>
    <t>東栄町</t>
  </si>
  <si>
    <t>中島村</t>
  </si>
  <si>
    <t>豊根村</t>
  </si>
  <si>
    <t>矢吹町</t>
  </si>
  <si>
    <t>名張市</t>
  </si>
  <si>
    <t>棚倉町</t>
  </si>
  <si>
    <t>いなべ市</t>
  </si>
  <si>
    <t>矢祭町</t>
  </si>
  <si>
    <t>伊賀市</t>
  </si>
  <si>
    <t>塙町</t>
  </si>
  <si>
    <t>木曽岬町</t>
  </si>
  <si>
    <t>鮫川村</t>
  </si>
  <si>
    <t>東員町</t>
  </si>
  <si>
    <t>石川町</t>
  </si>
  <si>
    <t>菰野町</t>
  </si>
  <si>
    <t>玉川村</t>
  </si>
  <si>
    <t>朝日町</t>
    <phoneticPr fontId="13"/>
  </si>
  <si>
    <t>平田村</t>
  </si>
  <si>
    <t>川越町</t>
  </si>
  <si>
    <t>浅川町</t>
  </si>
  <si>
    <t>長浜市</t>
  </si>
  <si>
    <t>古殿町</t>
  </si>
  <si>
    <t>近江八幡市</t>
    <rPh sb="0" eb="5">
      <t>オウミハチマンシ</t>
    </rPh>
    <phoneticPr fontId="2"/>
  </si>
  <si>
    <t>三春町</t>
  </si>
  <si>
    <t>野洲市</t>
  </si>
  <si>
    <t>小野町</t>
  </si>
  <si>
    <t>湖南市</t>
  </si>
  <si>
    <t>広野町</t>
  </si>
  <si>
    <t>高島市</t>
    <rPh sb="0" eb="3">
      <t>タカシマシ</t>
    </rPh>
    <phoneticPr fontId="2"/>
  </si>
  <si>
    <t>楢葉町</t>
  </si>
  <si>
    <t>東近江市</t>
  </si>
  <si>
    <t>富岡町</t>
  </si>
  <si>
    <t>日野町</t>
    <rPh sb="0" eb="3">
      <t>ヒノマチ</t>
    </rPh>
    <phoneticPr fontId="2"/>
  </si>
  <si>
    <t>川内村</t>
  </si>
  <si>
    <t>竜王町</t>
    <rPh sb="0" eb="3">
      <t>リュウオウチョウ</t>
    </rPh>
    <phoneticPr fontId="2"/>
  </si>
  <si>
    <t>大熊町</t>
  </si>
  <si>
    <t>久御山町</t>
  </si>
  <si>
    <t>双葉町</t>
  </si>
  <si>
    <t>姫路市</t>
  </si>
  <si>
    <t>浪江町</t>
  </si>
  <si>
    <t>加古川市</t>
  </si>
  <si>
    <t>葛尾村</t>
  </si>
  <si>
    <t>三木市</t>
  </si>
  <si>
    <t>新地町</t>
  </si>
  <si>
    <t>高砂市</t>
  </si>
  <si>
    <t>飯舘村</t>
  </si>
  <si>
    <t>稲美町</t>
  </si>
  <si>
    <t>播磨町</t>
  </si>
  <si>
    <t>大和高田市</t>
  </si>
  <si>
    <t>天理市</t>
  </si>
  <si>
    <t>橿原市</t>
  </si>
  <si>
    <t>石岡市</t>
  </si>
  <si>
    <t>桜井市</t>
  </si>
  <si>
    <t>御所市</t>
  </si>
  <si>
    <t>香芝市</t>
  </si>
  <si>
    <t>葛城市</t>
  </si>
  <si>
    <t>宇陀市</t>
  </si>
  <si>
    <t>常陸太田市</t>
  </si>
  <si>
    <t>山添村</t>
  </si>
  <si>
    <t>高萩市</t>
  </si>
  <si>
    <t>平群町</t>
  </si>
  <si>
    <t>北茨城市</t>
  </si>
  <si>
    <t>三郷町</t>
  </si>
  <si>
    <t>斑鳩町</t>
  </si>
  <si>
    <t>安堵町</t>
  </si>
  <si>
    <t>川西町</t>
    <phoneticPr fontId="13"/>
  </si>
  <si>
    <t>三宅町</t>
  </si>
  <si>
    <t>田原本町</t>
  </si>
  <si>
    <t>鹿嶋市</t>
  </si>
  <si>
    <t>曽爾村</t>
  </si>
  <si>
    <t>潮来市</t>
  </si>
  <si>
    <t>明日香村</t>
  </si>
  <si>
    <t>上牧町</t>
  </si>
  <si>
    <t>常陸大宮市</t>
  </si>
  <si>
    <t>王寺町</t>
  </si>
  <si>
    <t>広陵町</t>
  </si>
  <si>
    <t>河合町</t>
  </si>
  <si>
    <t>岡山市</t>
  </si>
  <si>
    <t>東広島市</t>
  </si>
  <si>
    <t>かすみがうら市</t>
  </si>
  <si>
    <t>廿日市市</t>
  </si>
  <si>
    <t>桜川市</t>
  </si>
  <si>
    <t>海田町</t>
  </si>
  <si>
    <t>神栖市</t>
  </si>
  <si>
    <t>熊野町</t>
    <rPh sb="0" eb="3">
      <t>クマノチョウ</t>
    </rPh>
    <phoneticPr fontId="2"/>
  </si>
  <si>
    <t>行方市</t>
  </si>
  <si>
    <t>坂町</t>
  </si>
  <si>
    <t>鉾田市</t>
  </si>
  <si>
    <t>周南市</t>
  </si>
  <si>
    <t>徳島市</t>
  </si>
  <si>
    <t>小美玉市</t>
  </si>
  <si>
    <t>高松市</t>
  </si>
  <si>
    <t>茨城町</t>
  </si>
  <si>
    <t>北九州市</t>
  </si>
  <si>
    <t>飯塚市</t>
  </si>
  <si>
    <t>城里町</t>
  </si>
  <si>
    <t>筑紫野市</t>
  </si>
  <si>
    <t>東海村</t>
  </si>
  <si>
    <t>古賀市</t>
  </si>
  <si>
    <t>大子町</t>
  </si>
  <si>
    <t>長崎市</t>
  </si>
  <si>
    <t>美浦村</t>
  </si>
  <si>
    <t>その他</t>
    <rPh sb="2" eb="3">
      <t>ホカ</t>
    </rPh>
    <phoneticPr fontId="57"/>
  </si>
  <si>
    <t>足利市</t>
  </si>
  <si>
    <t>佐野市</t>
  </si>
  <si>
    <t>矢板市</t>
  </si>
  <si>
    <t>那須塩原市</t>
  </si>
  <si>
    <t>那須烏山市</t>
  </si>
  <si>
    <t>上三川町</t>
  </si>
  <si>
    <t>益子町</t>
  </si>
  <si>
    <t>茂木町</t>
  </si>
  <si>
    <t>市貝町</t>
  </si>
  <si>
    <t>芳賀町</t>
  </si>
  <si>
    <t>塩谷町</t>
  </si>
  <si>
    <t>高根沢町</t>
  </si>
  <si>
    <t>那須町</t>
  </si>
  <si>
    <t>那珂川町</t>
  </si>
  <si>
    <t>桐生市</t>
  </si>
  <si>
    <t>沼田市</t>
  </si>
  <si>
    <t>館林市</t>
  </si>
  <si>
    <t>藤岡市</t>
  </si>
  <si>
    <t>富岡市</t>
  </si>
  <si>
    <t>安中市</t>
  </si>
  <si>
    <t>みどり市</t>
  </si>
  <si>
    <t>榛東村</t>
  </si>
  <si>
    <t>吉岡町</t>
  </si>
  <si>
    <t>上野村</t>
  </si>
  <si>
    <t>神流町</t>
  </si>
  <si>
    <t>下仁田町</t>
  </si>
  <si>
    <t>南牧村</t>
  </si>
  <si>
    <t>甘楽町</t>
  </si>
  <si>
    <t>中之条町</t>
  </si>
  <si>
    <t>長野原町</t>
  </si>
  <si>
    <t>嬬恋村</t>
  </si>
  <si>
    <t>草津町</t>
  </si>
  <si>
    <t>高山村</t>
  </si>
  <si>
    <t>東吾妻町</t>
  </si>
  <si>
    <t>片品村</t>
  </si>
  <si>
    <t>川場村</t>
  </si>
  <si>
    <t>みなかみ町</t>
  </si>
  <si>
    <t>板倉町</t>
  </si>
  <si>
    <t>明和町</t>
  </si>
  <si>
    <t>千代田町</t>
  </si>
  <si>
    <t>大泉町</t>
  </si>
  <si>
    <t>邑楽町</t>
  </si>
  <si>
    <t>秩父市</t>
  </si>
  <si>
    <t>飯能市</t>
  </si>
  <si>
    <t>本庄市</t>
  </si>
  <si>
    <t>志木市</t>
  </si>
  <si>
    <t>和光市</t>
  </si>
  <si>
    <t>白岡市</t>
    <rPh sb="0" eb="2">
      <t>シラオカ</t>
    </rPh>
    <rPh sb="2" eb="3">
      <t>シ</t>
    </rPh>
    <phoneticPr fontId="6"/>
  </si>
  <si>
    <t>嵐山町</t>
  </si>
  <si>
    <t>小川町</t>
  </si>
  <si>
    <t>ときがわ町</t>
  </si>
  <si>
    <t>横瀬町</t>
  </si>
  <si>
    <t>皆野町</t>
  </si>
  <si>
    <t>長瀞町</t>
  </si>
  <si>
    <t>小鹿野町</t>
  </si>
  <si>
    <t>東秩父村</t>
  </si>
  <si>
    <t>神川町</t>
  </si>
  <si>
    <t>上里町</t>
  </si>
  <si>
    <t>銚子市</t>
  </si>
  <si>
    <t>館山市</t>
  </si>
  <si>
    <t>旭市</t>
  </si>
  <si>
    <t>勝浦市</t>
  </si>
  <si>
    <t>鴨川市</t>
  </si>
  <si>
    <t>富里市</t>
  </si>
  <si>
    <t>南房総市</t>
  </si>
  <si>
    <t>匝瑳市</t>
  </si>
  <si>
    <t>香取市</t>
  </si>
  <si>
    <t>いすみ市</t>
  </si>
  <si>
    <t>大網白里市</t>
    <rPh sb="4" eb="5">
      <t>シ</t>
    </rPh>
    <phoneticPr fontId="6"/>
  </si>
  <si>
    <t>神崎町</t>
  </si>
  <si>
    <t>多古町</t>
  </si>
  <si>
    <t>東庄町</t>
  </si>
  <si>
    <t>九十九里町</t>
  </si>
  <si>
    <t>芝山町</t>
  </si>
  <si>
    <t>横芝光町</t>
  </si>
  <si>
    <t>一宮町</t>
  </si>
  <si>
    <t>睦沢町</t>
  </si>
  <si>
    <t>長生村</t>
  </si>
  <si>
    <t>白子町</t>
  </si>
  <si>
    <t>大多喜町</t>
  </si>
  <si>
    <t>御宿町</t>
  </si>
  <si>
    <t>鋸南町</t>
  </si>
  <si>
    <t>中央区</t>
  </si>
  <si>
    <t>港区</t>
  </si>
  <si>
    <t>新宿区</t>
  </si>
  <si>
    <t>文京区</t>
  </si>
  <si>
    <t>台東区</t>
  </si>
  <si>
    <t>墨田区</t>
  </si>
  <si>
    <t>江東区</t>
  </si>
  <si>
    <t>品川区</t>
  </si>
  <si>
    <t>目黒区</t>
  </si>
  <si>
    <t>大田区</t>
  </si>
  <si>
    <t>世田谷区</t>
  </si>
  <si>
    <t>渋谷区</t>
  </si>
  <si>
    <t>中野区</t>
  </si>
  <si>
    <t>杉並区</t>
  </si>
  <si>
    <t>豊島区</t>
  </si>
  <si>
    <t>北区</t>
  </si>
  <si>
    <t>荒川区</t>
  </si>
  <si>
    <t>板橋区</t>
  </si>
  <si>
    <t>練馬区</t>
  </si>
  <si>
    <t>足立区</t>
  </si>
  <si>
    <t>葛飾区</t>
  </si>
  <si>
    <t>江戸川区</t>
  </si>
  <si>
    <t>府中市</t>
  </si>
  <si>
    <t>町田市</t>
  </si>
  <si>
    <t>東村山市</t>
  </si>
  <si>
    <t>福生市</t>
  </si>
  <si>
    <t>狛江市</t>
  </si>
  <si>
    <t>清瀬市</t>
  </si>
  <si>
    <t>多摩市</t>
  </si>
  <si>
    <t>瑞穂町</t>
  </si>
  <si>
    <t>大島町</t>
  </si>
  <si>
    <t>利島村</t>
  </si>
  <si>
    <t>新島村</t>
  </si>
  <si>
    <t>神津島村</t>
  </si>
  <si>
    <t>三宅村</t>
  </si>
  <si>
    <t>御蔵島村</t>
  </si>
  <si>
    <t>八丈町</t>
  </si>
  <si>
    <t>青ヶ島村</t>
  </si>
  <si>
    <t>小笠原村</t>
  </si>
  <si>
    <t>横浜市</t>
  </si>
  <si>
    <t>川崎市</t>
  </si>
  <si>
    <t>海老名市</t>
  </si>
  <si>
    <t>南足柄市</t>
  </si>
  <si>
    <t>中井町</t>
  </si>
  <si>
    <t>大井町</t>
  </si>
  <si>
    <t>松田町</t>
  </si>
  <si>
    <t>山北町</t>
  </si>
  <si>
    <t>開成町</t>
  </si>
  <si>
    <t>真鶴町</t>
  </si>
  <si>
    <t>湯河原町</t>
  </si>
  <si>
    <t>長岡市</t>
  </si>
  <si>
    <t>三条市</t>
  </si>
  <si>
    <t>柏崎市</t>
  </si>
  <si>
    <t>新発田市</t>
  </si>
  <si>
    <t>小千谷市</t>
  </si>
  <si>
    <t>加茂市</t>
  </si>
  <si>
    <t>十日町市</t>
  </si>
  <si>
    <t>見附市</t>
  </si>
  <si>
    <t>村上市</t>
  </si>
  <si>
    <t>燕市</t>
  </si>
  <si>
    <t>糸魚川市</t>
  </si>
  <si>
    <t>妙高市</t>
  </si>
  <si>
    <t>五泉市</t>
  </si>
  <si>
    <t>上越市</t>
  </si>
  <si>
    <t>阿賀野市</t>
  </si>
  <si>
    <t>佐渡市</t>
  </si>
  <si>
    <t>魚沼市</t>
  </si>
  <si>
    <t>南魚沼市</t>
  </si>
  <si>
    <t>胎内市</t>
  </si>
  <si>
    <t>聖籠町</t>
  </si>
  <si>
    <t>弥彦村</t>
  </si>
  <si>
    <t>田上町</t>
  </si>
  <si>
    <t>阿賀町</t>
  </si>
  <si>
    <t>出雲崎町</t>
  </si>
  <si>
    <t>湯沢町</t>
  </si>
  <si>
    <t>津南町</t>
  </si>
  <si>
    <t>刈羽村</t>
  </si>
  <si>
    <t>関川村</t>
  </si>
  <si>
    <t>粟島浦村</t>
  </si>
  <si>
    <t>高岡市</t>
  </si>
  <si>
    <t>魚津市</t>
  </si>
  <si>
    <t>氷見市</t>
  </si>
  <si>
    <t>滑川市</t>
  </si>
  <si>
    <t>黒部市</t>
  </si>
  <si>
    <t>砺波市</t>
  </si>
  <si>
    <t>小矢部市</t>
  </si>
  <si>
    <t>南砺市</t>
  </si>
  <si>
    <t>射水市</t>
  </si>
  <si>
    <t>舟橋村</t>
  </si>
  <si>
    <t>上市町</t>
  </si>
  <si>
    <t>立山町</t>
  </si>
  <si>
    <t>入善町</t>
  </si>
  <si>
    <t>七尾市</t>
  </si>
  <si>
    <t>小松市</t>
  </si>
  <si>
    <t>輪島市</t>
  </si>
  <si>
    <t>珠洲市</t>
  </si>
  <si>
    <t>加賀市</t>
  </si>
  <si>
    <t>羽咋市</t>
  </si>
  <si>
    <t>かほく市</t>
  </si>
  <si>
    <t>白山市</t>
  </si>
  <si>
    <t>能美市</t>
  </si>
  <si>
    <t>野々市市</t>
  </si>
  <si>
    <t>川北町</t>
  </si>
  <si>
    <t>津幡町</t>
  </si>
  <si>
    <t>志賀町</t>
  </si>
  <si>
    <t>宝達志水町</t>
  </si>
  <si>
    <t>中能登町</t>
  </si>
  <si>
    <t>穴水町</t>
  </si>
  <si>
    <t>能登町</t>
  </si>
  <si>
    <t>敦賀市</t>
  </si>
  <si>
    <t>小浜市</t>
  </si>
  <si>
    <t>大野市</t>
  </si>
  <si>
    <t>勝山市</t>
  </si>
  <si>
    <t>鯖江市</t>
  </si>
  <si>
    <t>あわら市</t>
  </si>
  <si>
    <t>越前市</t>
  </si>
  <si>
    <t>坂井市</t>
  </si>
  <si>
    <t>永平寺町</t>
  </si>
  <si>
    <t>南越前町</t>
  </si>
  <si>
    <t>越前町</t>
  </si>
  <si>
    <t>美浜町</t>
  </si>
  <si>
    <t>高浜町</t>
  </si>
  <si>
    <t>おおい町</t>
  </si>
  <si>
    <t>若狭町</t>
  </si>
  <si>
    <t>富士吉田市</t>
  </si>
  <si>
    <t>都留市</t>
  </si>
  <si>
    <t>山梨市</t>
  </si>
  <si>
    <t>大月市</t>
  </si>
  <si>
    <t>韮崎市</t>
  </si>
  <si>
    <t>南アルプス市</t>
  </si>
  <si>
    <t>北杜市</t>
  </si>
  <si>
    <t>甲斐市</t>
  </si>
  <si>
    <t>笛吹市</t>
  </si>
  <si>
    <t>上野原市</t>
  </si>
  <si>
    <t>甲州市</t>
  </si>
  <si>
    <t>中央市</t>
  </si>
  <si>
    <t>市川三郷町</t>
  </si>
  <si>
    <t>早川町</t>
  </si>
  <si>
    <t>身延町</t>
  </si>
  <si>
    <t>富士川町</t>
  </si>
  <si>
    <t>昭和町</t>
  </si>
  <si>
    <t>道志村</t>
  </si>
  <si>
    <t>西桂町</t>
  </si>
  <si>
    <t>忍野村</t>
  </si>
  <si>
    <t>山中湖村</t>
  </si>
  <si>
    <t>鳴沢村</t>
  </si>
  <si>
    <t>富士河口湖町</t>
  </si>
  <si>
    <t>小菅村</t>
  </si>
  <si>
    <t>丹波山村</t>
  </si>
  <si>
    <t>上田市</t>
  </si>
  <si>
    <t>岡谷市</t>
  </si>
  <si>
    <t>飯田市</t>
  </si>
  <si>
    <t>諏訪市</t>
  </si>
  <si>
    <t>須坂市</t>
  </si>
  <si>
    <t>小諸市</t>
  </si>
  <si>
    <t>伊那市</t>
  </si>
  <si>
    <t>駒ヶ根市</t>
  </si>
  <si>
    <t>中野市</t>
  </si>
  <si>
    <t>大町市</t>
  </si>
  <si>
    <t>飯山市</t>
  </si>
  <si>
    <t>茅野市</t>
  </si>
  <si>
    <t>佐久市</t>
  </si>
  <si>
    <t>千曲市</t>
  </si>
  <si>
    <t>東御市</t>
  </si>
  <si>
    <t>安曇野市</t>
  </si>
  <si>
    <t>小海町</t>
  </si>
  <si>
    <t>川上村</t>
  </si>
  <si>
    <t>南相木村</t>
  </si>
  <si>
    <t>北相木村</t>
  </si>
  <si>
    <t>佐久穂町</t>
  </si>
  <si>
    <t>軽井沢町</t>
  </si>
  <si>
    <t>御代田町</t>
  </si>
  <si>
    <t>立科町</t>
  </si>
  <si>
    <t>青木村</t>
  </si>
  <si>
    <t>長和町</t>
  </si>
  <si>
    <t>下諏訪町</t>
  </si>
  <si>
    <t>富士見町</t>
  </si>
  <si>
    <t>原村</t>
  </si>
  <si>
    <t>辰野町</t>
  </si>
  <si>
    <t>箕輪町</t>
  </si>
  <si>
    <t>飯島町</t>
  </si>
  <si>
    <t>南箕輪村</t>
  </si>
  <si>
    <t>中川村</t>
  </si>
  <si>
    <t>宮田村</t>
  </si>
  <si>
    <t>松川町</t>
  </si>
  <si>
    <t>高森町</t>
  </si>
  <si>
    <t>阿南町</t>
  </si>
  <si>
    <t>阿智村</t>
  </si>
  <si>
    <t>平谷村</t>
  </si>
  <si>
    <t>根羽村</t>
  </si>
  <si>
    <t>下條村</t>
  </si>
  <si>
    <t>売木村</t>
  </si>
  <si>
    <t>天龍村</t>
  </si>
  <si>
    <t>泰阜村</t>
  </si>
  <si>
    <t>喬木村</t>
  </si>
  <si>
    <t>豊丘村</t>
  </si>
  <si>
    <t>大鹿村</t>
  </si>
  <si>
    <t>上松町</t>
  </si>
  <si>
    <t>南木曽町</t>
  </si>
  <si>
    <t>木祖村</t>
  </si>
  <si>
    <t>王滝村</t>
  </si>
  <si>
    <t>大桑村</t>
  </si>
  <si>
    <t>木曽町</t>
  </si>
  <si>
    <t>麻績村</t>
  </si>
  <si>
    <t>生坂村</t>
  </si>
  <si>
    <t>山形村</t>
  </si>
  <si>
    <t>朝日村</t>
  </si>
  <si>
    <t>筑北村</t>
  </si>
  <si>
    <t>松川村</t>
  </si>
  <si>
    <t>白馬村</t>
  </si>
  <si>
    <t>小谷村</t>
  </si>
  <si>
    <t>坂城町</t>
  </si>
  <si>
    <t>小布施町</t>
  </si>
  <si>
    <t>山ノ内町</t>
  </si>
  <si>
    <t>木島平村</t>
  </si>
  <si>
    <t>野沢温泉村</t>
  </si>
  <si>
    <t>信濃町</t>
  </si>
  <si>
    <t>小川村</t>
  </si>
  <si>
    <t>飯綱町</t>
  </si>
  <si>
    <t>栄村</t>
  </si>
  <si>
    <t>高山市</t>
  </si>
  <si>
    <t>関市</t>
  </si>
  <si>
    <t>中津川市</t>
  </si>
  <si>
    <t>美濃市</t>
  </si>
  <si>
    <t>瑞浪市</t>
  </si>
  <si>
    <t>羽島市</t>
  </si>
  <si>
    <t>恵那市</t>
  </si>
  <si>
    <t>美濃加茂市</t>
  </si>
  <si>
    <t>土岐市</t>
  </si>
  <si>
    <t>山県市</t>
  </si>
  <si>
    <t>瑞穂市</t>
  </si>
  <si>
    <t>飛騨市</t>
  </si>
  <si>
    <t>本巣市</t>
  </si>
  <si>
    <t>郡上市</t>
  </si>
  <si>
    <t>下呂市</t>
  </si>
  <si>
    <t>海津市</t>
  </si>
  <si>
    <t>岐南町</t>
  </si>
  <si>
    <t>笠松町</t>
  </si>
  <si>
    <t>養老町</t>
  </si>
  <si>
    <t>垂井町</t>
  </si>
  <si>
    <t>関ケ原町</t>
  </si>
  <si>
    <t>神戸町</t>
  </si>
  <si>
    <t>輪之内町</t>
  </si>
  <si>
    <t>安八町</t>
  </si>
  <si>
    <t>揖斐川町</t>
  </si>
  <si>
    <t>大野町</t>
  </si>
  <si>
    <t>北方町</t>
  </si>
  <si>
    <t>坂祝町</t>
  </si>
  <si>
    <t>富加町</t>
  </si>
  <si>
    <t>川辺町</t>
  </si>
  <si>
    <t>七宗町</t>
  </si>
  <si>
    <t>八百津町</t>
  </si>
  <si>
    <t>白川町</t>
  </si>
  <si>
    <t>東白川村</t>
  </si>
  <si>
    <t>御嵩町</t>
  </si>
  <si>
    <t>白川村</t>
  </si>
  <si>
    <t>熱海市</t>
  </si>
  <si>
    <t>伊東市</t>
  </si>
  <si>
    <t>下田市</t>
  </si>
  <si>
    <t>湖西市</t>
  </si>
  <si>
    <t>伊豆市</t>
  </si>
  <si>
    <t>御前崎市</t>
  </si>
  <si>
    <t>菊川市</t>
  </si>
  <si>
    <t>伊豆の国市</t>
  </si>
  <si>
    <t>牧之原市</t>
  </si>
  <si>
    <t>東伊豆町</t>
  </si>
  <si>
    <t>河津町</t>
  </si>
  <si>
    <t>南伊豆町</t>
  </si>
  <si>
    <t>松崎町</t>
  </si>
  <si>
    <t>西伊豆町</t>
  </si>
  <si>
    <t>吉田町</t>
  </si>
  <si>
    <t>瀬戸市</t>
  </si>
  <si>
    <t>清須市</t>
  </si>
  <si>
    <t>みよし市</t>
  </si>
  <si>
    <t>豊山町</t>
  </si>
  <si>
    <t>飛島村</t>
  </si>
  <si>
    <t>南知多町</t>
  </si>
  <si>
    <t>武豊町</t>
  </si>
  <si>
    <t>伊勢市</t>
  </si>
  <si>
    <t>松阪市</t>
  </si>
  <si>
    <t>尾鷲市</t>
  </si>
  <si>
    <t>鳥羽市</t>
  </si>
  <si>
    <t>熊野市</t>
  </si>
  <si>
    <t>志摩市</t>
  </si>
  <si>
    <t>多気町</t>
  </si>
  <si>
    <t>大台町</t>
  </si>
  <si>
    <t>玉城町</t>
  </si>
  <si>
    <t>度会町</t>
  </si>
  <si>
    <t>大紀町</t>
  </si>
  <si>
    <t>南伊勢町</t>
  </si>
  <si>
    <t>紀北町</t>
  </si>
  <si>
    <t>御浜町</t>
  </si>
  <si>
    <t>紀宝町</t>
  </si>
  <si>
    <t>近江八幡市</t>
  </si>
  <si>
    <t>栗東市</t>
  </si>
  <si>
    <t>高島市</t>
  </si>
  <si>
    <t>米原市</t>
  </si>
  <si>
    <t>日野町</t>
  </si>
  <si>
    <t>竜王町</t>
  </si>
  <si>
    <t>愛荘町</t>
  </si>
  <si>
    <t>豊郷町</t>
  </si>
  <si>
    <t>甲良町</t>
  </si>
  <si>
    <t>多賀町</t>
  </si>
  <si>
    <t>福知山市</t>
  </si>
  <si>
    <t>舞鶴市</t>
  </si>
  <si>
    <t>綾部市</t>
  </si>
  <si>
    <t>宮津市</t>
  </si>
  <si>
    <t>京丹後市</t>
  </si>
  <si>
    <t>南丹市</t>
  </si>
  <si>
    <t>井手町</t>
  </si>
  <si>
    <t>宇治田原町</t>
  </si>
  <si>
    <t>笠置町</t>
  </si>
  <si>
    <t>和束町</t>
  </si>
  <si>
    <t>南山城村</t>
  </si>
  <si>
    <t>京丹波町</t>
  </si>
  <si>
    <t>伊根町</t>
  </si>
  <si>
    <t>与謝野町</t>
  </si>
  <si>
    <t>大阪市</t>
  </si>
  <si>
    <t>太子町</t>
  </si>
  <si>
    <t>洲本市</t>
  </si>
  <si>
    <t>相生市</t>
  </si>
  <si>
    <t>豊岡市</t>
  </si>
  <si>
    <t>赤穂市</t>
  </si>
  <si>
    <t>西脇市</t>
  </si>
  <si>
    <t>小野市</t>
  </si>
  <si>
    <t>加西市</t>
  </si>
  <si>
    <t>丹波篠山市</t>
  </si>
  <si>
    <t>養父市</t>
  </si>
  <si>
    <t>丹波市</t>
  </si>
  <si>
    <t>南あわじ市</t>
  </si>
  <si>
    <t>朝来市</t>
  </si>
  <si>
    <t>淡路市</t>
  </si>
  <si>
    <t>宍粟市</t>
  </si>
  <si>
    <t>加東市</t>
  </si>
  <si>
    <t>たつの市</t>
  </si>
  <si>
    <t>多可町</t>
  </si>
  <si>
    <t>市川町</t>
  </si>
  <si>
    <t>福崎町</t>
  </si>
  <si>
    <t>神河町</t>
  </si>
  <si>
    <t>上郡町</t>
  </si>
  <si>
    <t>佐用町</t>
  </si>
  <si>
    <t>香美町</t>
  </si>
  <si>
    <t>新温泉町</t>
  </si>
  <si>
    <t>五條市</t>
  </si>
  <si>
    <t>御杖村</t>
  </si>
  <si>
    <t>高取町</t>
  </si>
  <si>
    <t>吉野町</t>
  </si>
  <si>
    <t>大淀町</t>
  </si>
  <si>
    <t>下市町</t>
  </si>
  <si>
    <t>黒滝村</t>
  </si>
  <si>
    <t>天川村</t>
  </si>
  <si>
    <t>野迫川村</t>
  </si>
  <si>
    <t>十津川村</t>
  </si>
  <si>
    <t>下北山村</t>
  </si>
  <si>
    <t>上北山村</t>
  </si>
  <si>
    <t>東吉野村</t>
  </si>
  <si>
    <t>海南市</t>
  </si>
  <si>
    <t>有田市</t>
  </si>
  <si>
    <t>御坊市</t>
  </si>
  <si>
    <t>田辺市</t>
  </si>
  <si>
    <t>新宮市</t>
  </si>
  <si>
    <t>紀の川市</t>
  </si>
  <si>
    <t>岩出市</t>
  </si>
  <si>
    <t>紀美野町</t>
  </si>
  <si>
    <t>かつらぎ町</t>
  </si>
  <si>
    <t>九度山町</t>
  </si>
  <si>
    <t>高野町</t>
  </si>
  <si>
    <t>湯浅町</t>
  </si>
  <si>
    <t>広川町</t>
  </si>
  <si>
    <t>有田川町</t>
  </si>
  <si>
    <t>由良町</t>
  </si>
  <si>
    <t>印南町</t>
  </si>
  <si>
    <t>みなべ町</t>
  </si>
  <si>
    <t>日高川町</t>
  </si>
  <si>
    <t>白浜町</t>
  </si>
  <si>
    <t>上富田町</t>
  </si>
  <si>
    <t>すさみ町</t>
  </si>
  <si>
    <t>那智勝浦町</t>
  </si>
  <si>
    <t>太地町</t>
  </si>
  <si>
    <t>古座川町</t>
  </si>
  <si>
    <t>北山村</t>
  </si>
  <si>
    <t>串本町</t>
  </si>
  <si>
    <t>鳥取市</t>
  </si>
  <si>
    <t>米子市</t>
  </si>
  <si>
    <t>倉吉市</t>
  </si>
  <si>
    <t>境港市</t>
  </si>
  <si>
    <t>岩美町</t>
  </si>
  <si>
    <t>若桜町</t>
  </si>
  <si>
    <t>智頭町</t>
  </si>
  <si>
    <t>八頭町</t>
  </si>
  <si>
    <t>三朝町</t>
  </si>
  <si>
    <t>湯梨浜町</t>
  </si>
  <si>
    <t>琴浦町</t>
  </si>
  <si>
    <t>北栄町</t>
  </si>
  <si>
    <t>日吉津村</t>
  </si>
  <si>
    <t>大山町</t>
  </si>
  <si>
    <t>伯耆町</t>
  </si>
  <si>
    <t>日南町</t>
  </si>
  <si>
    <t>江府町</t>
  </si>
  <si>
    <t>松江市</t>
  </si>
  <si>
    <t>浜田市</t>
  </si>
  <si>
    <t>出雲市</t>
  </si>
  <si>
    <t>益田市</t>
  </si>
  <si>
    <t>大田市</t>
  </si>
  <si>
    <t>安来市</t>
  </si>
  <si>
    <t>江津市</t>
  </si>
  <si>
    <t>雲南市</t>
  </si>
  <si>
    <t>奥出雲町</t>
  </si>
  <si>
    <t>飯南町</t>
  </si>
  <si>
    <t>川本町</t>
  </si>
  <si>
    <t>邑南町</t>
  </si>
  <si>
    <t>津和野町</t>
  </si>
  <si>
    <t>吉賀町</t>
  </si>
  <si>
    <t>海士町</t>
  </si>
  <si>
    <t>西ノ島町</t>
  </si>
  <si>
    <t>知夫村</t>
  </si>
  <si>
    <t>隠岐の島町</t>
  </si>
  <si>
    <t>倉敷市</t>
  </si>
  <si>
    <t>津山市</t>
  </si>
  <si>
    <t>玉野市</t>
  </si>
  <si>
    <t>笠岡市</t>
  </si>
  <si>
    <t>井原市</t>
  </si>
  <si>
    <t>総社市</t>
  </si>
  <si>
    <t>高梁市</t>
  </si>
  <si>
    <t>新見市</t>
  </si>
  <si>
    <t>備前市</t>
  </si>
  <si>
    <t>瀬戸内市</t>
  </si>
  <si>
    <t>赤磐市</t>
  </si>
  <si>
    <t>真庭市</t>
  </si>
  <si>
    <t>美作市</t>
  </si>
  <si>
    <t>浅口市</t>
  </si>
  <si>
    <t>和気町</t>
  </si>
  <si>
    <t>早島町</t>
  </si>
  <si>
    <t>里庄町</t>
  </si>
  <si>
    <t>矢掛町</t>
  </si>
  <si>
    <t>新庄村</t>
  </si>
  <si>
    <t>鏡野町</t>
  </si>
  <si>
    <t>勝央町</t>
  </si>
  <si>
    <t>奈義町</t>
  </si>
  <si>
    <t>西粟倉村</t>
  </si>
  <si>
    <t>久米南町</t>
  </si>
  <si>
    <t>美咲町</t>
  </si>
  <si>
    <t>吉備中央町</t>
  </si>
  <si>
    <t>呉市</t>
  </si>
  <si>
    <t>竹原市</t>
  </si>
  <si>
    <t>三原市</t>
  </si>
  <si>
    <t>尾道市</t>
  </si>
  <si>
    <t>福山市</t>
  </si>
  <si>
    <t>三次市</t>
  </si>
  <si>
    <t>庄原市</t>
  </si>
  <si>
    <t>大竹市</t>
  </si>
  <si>
    <t>安芸高田市</t>
  </si>
  <si>
    <t>江田島市</t>
  </si>
  <si>
    <t>熊野町</t>
  </si>
  <si>
    <t>安芸太田町</t>
  </si>
  <si>
    <t>北広島町</t>
  </si>
  <si>
    <t>大崎上島町</t>
  </si>
  <si>
    <t>世羅町</t>
  </si>
  <si>
    <t>神石高原町</t>
  </si>
  <si>
    <t>下関市</t>
  </si>
  <si>
    <t>宇部市</t>
  </si>
  <si>
    <t>山口市</t>
  </si>
  <si>
    <t>萩市</t>
  </si>
  <si>
    <t>防府市</t>
  </si>
  <si>
    <t>下松市</t>
  </si>
  <si>
    <t>岩国市</t>
  </si>
  <si>
    <t>光市</t>
  </si>
  <si>
    <t>長門市</t>
  </si>
  <si>
    <t>柳井市</t>
  </si>
  <si>
    <t>美祢市</t>
  </si>
  <si>
    <t>山陽小野田市</t>
  </si>
  <si>
    <t>周防大島町</t>
  </si>
  <si>
    <t>和木町</t>
  </si>
  <si>
    <t>上関町</t>
  </si>
  <si>
    <t>田布施町</t>
  </si>
  <si>
    <t>平生町</t>
  </si>
  <si>
    <t>阿武町</t>
  </si>
  <si>
    <t>鳴門市</t>
  </si>
  <si>
    <t>小松島市</t>
  </si>
  <si>
    <t>阿南市</t>
  </si>
  <si>
    <t>吉野川市</t>
  </si>
  <si>
    <t>阿波市</t>
  </si>
  <si>
    <t>美馬市</t>
  </si>
  <si>
    <t>三好市</t>
  </si>
  <si>
    <t>勝浦町</t>
  </si>
  <si>
    <t>上勝町</t>
  </si>
  <si>
    <t>佐那河内村</t>
  </si>
  <si>
    <t>石井町</t>
  </si>
  <si>
    <t>神山町</t>
  </si>
  <si>
    <t>那賀町</t>
  </si>
  <si>
    <t>牟岐町</t>
  </si>
  <si>
    <t>美波町</t>
  </si>
  <si>
    <t>海陽町</t>
  </si>
  <si>
    <t>松茂町</t>
  </si>
  <si>
    <t>北島町</t>
  </si>
  <si>
    <t>藍住町</t>
  </si>
  <si>
    <t>板野町</t>
  </si>
  <si>
    <t>上板町</t>
  </si>
  <si>
    <t>つるぎ町</t>
  </si>
  <si>
    <t>東みよし町</t>
  </si>
  <si>
    <t>丸亀市</t>
  </si>
  <si>
    <t>坂出市</t>
  </si>
  <si>
    <t>善通寺市</t>
  </si>
  <si>
    <t>観音寺市</t>
  </si>
  <si>
    <t>さぬき市</t>
  </si>
  <si>
    <t>東かがわ市</t>
  </si>
  <si>
    <t>三豊市</t>
  </si>
  <si>
    <t>土庄町</t>
  </si>
  <si>
    <t>小豆島町</t>
  </si>
  <si>
    <t>三木町</t>
  </si>
  <si>
    <t>直島町</t>
  </si>
  <si>
    <t>宇多津町</t>
  </si>
  <si>
    <t>綾川町</t>
  </si>
  <si>
    <t>琴平町</t>
  </si>
  <si>
    <t>多度津町</t>
  </si>
  <si>
    <t>まんのう町</t>
  </si>
  <si>
    <t>松山市</t>
  </si>
  <si>
    <t>今治市</t>
  </si>
  <si>
    <t>宇和島市</t>
  </si>
  <si>
    <t>八幡浜市</t>
  </si>
  <si>
    <t>新居浜市</t>
  </si>
  <si>
    <t>西条市</t>
  </si>
  <si>
    <t>大洲市</t>
  </si>
  <si>
    <t>伊予市</t>
  </si>
  <si>
    <t>四国中央市</t>
  </si>
  <si>
    <t>西予市</t>
  </si>
  <si>
    <t>東温市</t>
  </si>
  <si>
    <t>上島町</t>
  </si>
  <si>
    <t>久万高原町</t>
  </si>
  <si>
    <t>砥部町</t>
  </si>
  <si>
    <t>内子町</t>
  </si>
  <si>
    <t>伊方町</t>
  </si>
  <si>
    <t>松野町</t>
  </si>
  <si>
    <t>鬼北町</t>
  </si>
  <si>
    <t>愛南町</t>
  </si>
  <si>
    <t>高知市</t>
  </si>
  <si>
    <t>室戸市</t>
  </si>
  <si>
    <t>安芸市</t>
  </si>
  <si>
    <t>南国市</t>
  </si>
  <si>
    <t>土佐市</t>
  </si>
  <si>
    <t>須崎市</t>
  </si>
  <si>
    <t>宿毛市</t>
  </si>
  <si>
    <t>土佐清水市</t>
  </si>
  <si>
    <t>四万十市</t>
  </si>
  <si>
    <t>香南市</t>
  </si>
  <si>
    <t>香美市</t>
  </si>
  <si>
    <t>東洋町</t>
  </si>
  <si>
    <t>奈半利町</t>
  </si>
  <si>
    <t>田野町</t>
  </si>
  <si>
    <t>安田町</t>
  </si>
  <si>
    <t>北川村</t>
  </si>
  <si>
    <t>馬路村</t>
  </si>
  <si>
    <t>芸西村</t>
  </si>
  <si>
    <t>本山町</t>
  </si>
  <si>
    <t>大豊町</t>
  </si>
  <si>
    <t>土佐町</t>
  </si>
  <si>
    <t>大川村</t>
  </si>
  <si>
    <t>いの町</t>
  </si>
  <si>
    <t>仁淀川町</t>
  </si>
  <si>
    <t>中土佐町</t>
  </si>
  <si>
    <t>佐川町</t>
  </si>
  <si>
    <t>越知町</t>
  </si>
  <si>
    <t>梼原町</t>
  </si>
  <si>
    <t>日高村</t>
  </si>
  <si>
    <t>津野町</t>
  </si>
  <si>
    <t>四万十町</t>
  </si>
  <si>
    <t>大月町</t>
  </si>
  <si>
    <t>三原村</t>
  </si>
  <si>
    <t>黒潮町</t>
  </si>
  <si>
    <t>福岡市</t>
  </si>
  <si>
    <t>大牟田市</t>
  </si>
  <si>
    <t>久留米市</t>
  </si>
  <si>
    <t>直方市</t>
  </si>
  <si>
    <t>田川市</t>
  </si>
  <si>
    <t>柳川市</t>
  </si>
  <si>
    <t>八女市</t>
  </si>
  <si>
    <t>筑後市</t>
  </si>
  <si>
    <t>大川市</t>
  </si>
  <si>
    <t>行橋市</t>
  </si>
  <si>
    <t>豊前市</t>
  </si>
  <si>
    <t>中間市</t>
  </si>
  <si>
    <t>小郡市</t>
  </si>
  <si>
    <t>春日市</t>
  </si>
  <si>
    <t>宗像市</t>
  </si>
  <si>
    <t>うきは市</t>
  </si>
  <si>
    <t>宮若市</t>
  </si>
  <si>
    <t>嘉麻市</t>
  </si>
  <si>
    <t>朝倉市</t>
  </si>
  <si>
    <t>みやま市</t>
  </si>
  <si>
    <t>福岡県</t>
    <rPh sb="0" eb="3">
      <t>フクオカケン</t>
    </rPh>
    <phoneticPr fontId="6"/>
  </si>
  <si>
    <t>那珂川市</t>
    <rPh sb="0" eb="3">
      <t>ナカガワ</t>
    </rPh>
    <rPh sb="3" eb="4">
      <t>シ</t>
    </rPh>
    <phoneticPr fontId="6"/>
  </si>
  <si>
    <t>宇美町</t>
  </si>
  <si>
    <t>篠栗町</t>
  </si>
  <si>
    <t>志免町</t>
  </si>
  <si>
    <t>須恵町</t>
  </si>
  <si>
    <t>新宮町</t>
  </si>
  <si>
    <t>久山町</t>
  </si>
  <si>
    <t>芦屋町</t>
  </si>
  <si>
    <t>水巻町</t>
  </si>
  <si>
    <t>岡垣町</t>
  </si>
  <si>
    <t>遠賀町</t>
  </si>
  <si>
    <t>小竹町</t>
  </si>
  <si>
    <t>鞍手町</t>
  </si>
  <si>
    <t>桂川町</t>
  </si>
  <si>
    <t>筑前町</t>
  </si>
  <si>
    <t>東峰村</t>
  </si>
  <si>
    <t>大刀洗町</t>
  </si>
  <si>
    <t>大木町</t>
  </si>
  <si>
    <t>香春町</t>
  </si>
  <si>
    <t>添田町</t>
  </si>
  <si>
    <t>糸田町</t>
  </si>
  <si>
    <t>大任町</t>
  </si>
  <si>
    <t>赤村</t>
  </si>
  <si>
    <t>福智町</t>
  </si>
  <si>
    <t>苅田町</t>
  </si>
  <si>
    <t>みやこ町</t>
  </si>
  <si>
    <t>吉富町</t>
  </si>
  <si>
    <t>上毛町</t>
  </si>
  <si>
    <t>築上町</t>
  </si>
  <si>
    <t>佐賀市</t>
  </si>
  <si>
    <t>唐津市</t>
  </si>
  <si>
    <t>鳥栖市</t>
  </si>
  <si>
    <t>多久市</t>
  </si>
  <si>
    <t>伊万里市</t>
  </si>
  <si>
    <t>武雄市</t>
  </si>
  <si>
    <t>鹿島市</t>
  </si>
  <si>
    <t>小城市</t>
  </si>
  <si>
    <t>嬉野市</t>
  </si>
  <si>
    <t>神埼市</t>
  </si>
  <si>
    <t>吉野ヶ里町</t>
  </si>
  <si>
    <t>基山町</t>
  </si>
  <si>
    <t>上峰町</t>
  </si>
  <si>
    <t>みやき町</t>
  </si>
  <si>
    <t>玄海町</t>
  </si>
  <si>
    <t>有田町</t>
  </si>
  <si>
    <t>大町町</t>
  </si>
  <si>
    <t>江北町</t>
  </si>
  <si>
    <t>白石町</t>
  </si>
  <si>
    <t>太良町</t>
  </si>
  <si>
    <t>佐世保市</t>
  </si>
  <si>
    <t>島原市</t>
  </si>
  <si>
    <t>諫早市</t>
  </si>
  <si>
    <t>大村市</t>
  </si>
  <si>
    <t>平戸市</t>
  </si>
  <si>
    <t>松浦市</t>
  </si>
  <si>
    <t>対馬市</t>
  </si>
  <si>
    <t>壱岐市</t>
  </si>
  <si>
    <t>五島市</t>
  </si>
  <si>
    <t>西海市</t>
  </si>
  <si>
    <t>雲仙市</t>
  </si>
  <si>
    <t>南島原市</t>
  </si>
  <si>
    <t>長与町</t>
  </si>
  <si>
    <t>時津町</t>
  </si>
  <si>
    <t>東彼杵町</t>
  </si>
  <si>
    <t>川棚町</t>
  </si>
  <si>
    <t>波佐見町</t>
  </si>
  <si>
    <t>小値賀町</t>
  </si>
  <si>
    <t>佐々町</t>
  </si>
  <si>
    <t>新上五島町</t>
  </si>
  <si>
    <t>熊本市</t>
  </si>
  <si>
    <t>八代市</t>
  </si>
  <si>
    <t>人吉市</t>
  </si>
  <si>
    <t>荒尾市</t>
  </si>
  <si>
    <t>水俣市</t>
  </si>
  <si>
    <t>玉名市</t>
  </si>
  <si>
    <t>山鹿市</t>
  </si>
  <si>
    <t>菊池市</t>
  </si>
  <si>
    <t>宇土市</t>
  </si>
  <si>
    <t>上天草市</t>
  </si>
  <si>
    <t>宇城市</t>
  </si>
  <si>
    <t>阿蘇市</t>
  </si>
  <si>
    <t>天草市</t>
  </si>
  <si>
    <t>合志市</t>
  </si>
  <si>
    <t>玉東町</t>
  </si>
  <si>
    <t>南関町</t>
  </si>
  <si>
    <t>長洲町</t>
  </si>
  <si>
    <t>和水町</t>
  </si>
  <si>
    <t>大津町</t>
  </si>
  <si>
    <t>菊陽町</t>
  </si>
  <si>
    <t>南小国町</t>
  </si>
  <si>
    <t>産山村</t>
  </si>
  <si>
    <t>西原村</t>
  </si>
  <si>
    <t>南阿蘇村</t>
  </si>
  <si>
    <t>御船町</t>
  </si>
  <si>
    <t>嘉島町</t>
  </si>
  <si>
    <t>益城町</t>
  </si>
  <si>
    <t>甲佐町</t>
  </si>
  <si>
    <t>山都町</t>
  </si>
  <si>
    <t>氷川町</t>
  </si>
  <si>
    <t>芦北町</t>
  </si>
  <si>
    <t>津奈木町</t>
  </si>
  <si>
    <t>錦町</t>
  </si>
  <si>
    <t>多良木町</t>
  </si>
  <si>
    <t>湯前町</t>
  </si>
  <si>
    <t>水上村</t>
  </si>
  <si>
    <t>相良村</t>
  </si>
  <si>
    <t>五木村</t>
  </si>
  <si>
    <t>山江村</t>
  </si>
  <si>
    <t>球磨村</t>
  </si>
  <si>
    <t>あさぎり町</t>
  </si>
  <si>
    <t>苓北町</t>
  </si>
  <si>
    <t>大分市</t>
  </si>
  <si>
    <t>別府市</t>
  </si>
  <si>
    <t>中津市</t>
  </si>
  <si>
    <t>日田市</t>
  </si>
  <si>
    <t>佐伯市</t>
  </si>
  <si>
    <t>臼杵市</t>
  </si>
  <si>
    <t>津久見市</t>
  </si>
  <si>
    <t>竹田市</t>
  </si>
  <si>
    <t>豊後高田市</t>
  </si>
  <si>
    <t>杵築市</t>
  </si>
  <si>
    <t>宇佐市</t>
  </si>
  <si>
    <t>豊後大野市</t>
  </si>
  <si>
    <t>由布市</t>
  </si>
  <si>
    <t>国東市</t>
  </si>
  <si>
    <t>姫島村</t>
  </si>
  <si>
    <t>日出町</t>
  </si>
  <si>
    <t>九重町</t>
  </si>
  <si>
    <t>玖珠町</t>
  </si>
  <si>
    <t>宮崎市</t>
  </si>
  <si>
    <t>都城市</t>
  </si>
  <si>
    <t>延岡市</t>
  </si>
  <si>
    <t>日南市</t>
  </si>
  <si>
    <t>小林市</t>
  </si>
  <si>
    <t>日向市</t>
  </si>
  <si>
    <t>串間市</t>
  </si>
  <si>
    <t>西都市</t>
  </si>
  <si>
    <t>えびの市</t>
  </si>
  <si>
    <t>三股町</t>
  </si>
  <si>
    <t>高原町</t>
  </si>
  <si>
    <t>国富町</t>
  </si>
  <si>
    <t>綾町</t>
  </si>
  <si>
    <t>高鍋町</t>
  </si>
  <si>
    <t>新富町</t>
  </si>
  <si>
    <t>西米良村</t>
  </si>
  <si>
    <t>木城町</t>
  </si>
  <si>
    <t>川南町</t>
  </si>
  <si>
    <t>都農町</t>
  </si>
  <si>
    <t>門川町</t>
  </si>
  <si>
    <t>諸塚村</t>
  </si>
  <si>
    <t>椎葉村</t>
  </si>
  <si>
    <t>高千穂町</t>
  </si>
  <si>
    <t>日之影町</t>
  </si>
  <si>
    <t>五ヶ瀬町</t>
  </si>
  <si>
    <t>鹿児島市</t>
  </si>
  <si>
    <t>鹿屋市</t>
  </si>
  <si>
    <t>枕崎市</t>
  </si>
  <si>
    <t>阿久根市</t>
  </si>
  <si>
    <t>出水市</t>
  </si>
  <si>
    <t>指宿市</t>
  </si>
  <si>
    <t>西之表市</t>
  </si>
  <si>
    <t>垂水市</t>
  </si>
  <si>
    <t>薩摩川内市</t>
  </si>
  <si>
    <t>日置市</t>
  </si>
  <si>
    <t>曽於市</t>
  </si>
  <si>
    <t>霧島市</t>
  </si>
  <si>
    <t>いちき串木野市</t>
  </si>
  <si>
    <t>南さつま市</t>
  </si>
  <si>
    <t>志布志市</t>
  </si>
  <si>
    <t>奄美市</t>
  </si>
  <si>
    <t>南九州市</t>
  </si>
  <si>
    <t>伊佐市</t>
  </si>
  <si>
    <t>姶良市</t>
  </si>
  <si>
    <t>三島村</t>
  </si>
  <si>
    <t>十島村</t>
  </si>
  <si>
    <t>さつま町</t>
  </si>
  <si>
    <t>長島町</t>
  </si>
  <si>
    <t>湧水町</t>
  </si>
  <si>
    <t>大崎町</t>
  </si>
  <si>
    <t>東串良町</t>
  </si>
  <si>
    <t>錦江町</t>
  </si>
  <si>
    <t>南大隅町</t>
  </si>
  <si>
    <t>肝付町</t>
  </si>
  <si>
    <t>中種子町</t>
  </si>
  <si>
    <t>南種子町</t>
  </si>
  <si>
    <t>屋久島町</t>
  </si>
  <si>
    <t>大和村</t>
  </si>
  <si>
    <t>宇検村</t>
  </si>
  <si>
    <t>瀬戸内町</t>
  </si>
  <si>
    <t>龍郷町</t>
  </si>
  <si>
    <t>喜界町</t>
  </si>
  <si>
    <t>徳之島町</t>
  </si>
  <si>
    <t>天城町</t>
  </si>
  <si>
    <t>伊仙町</t>
  </si>
  <si>
    <t>和泊町</t>
  </si>
  <si>
    <t>知名町</t>
  </si>
  <si>
    <t>与論町</t>
  </si>
  <si>
    <t>那覇市</t>
  </si>
  <si>
    <t>宜野湾市</t>
  </si>
  <si>
    <t>石垣市</t>
  </si>
  <si>
    <t>浦添市</t>
  </si>
  <si>
    <t>名護市</t>
  </si>
  <si>
    <t>糸満市</t>
  </si>
  <si>
    <t>沖縄市</t>
  </si>
  <si>
    <t>豊見城市</t>
  </si>
  <si>
    <t>うるま市</t>
  </si>
  <si>
    <t>宮古島市</t>
  </si>
  <si>
    <t>南城市</t>
  </si>
  <si>
    <t>国頭村</t>
  </si>
  <si>
    <t>大宜味村</t>
  </si>
  <si>
    <t>東村</t>
  </si>
  <si>
    <t>今帰仁村</t>
  </si>
  <si>
    <t>本部町</t>
  </si>
  <si>
    <t>恩納村</t>
  </si>
  <si>
    <t>宜野座村</t>
  </si>
  <si>
    <t>金武町</t>
  </si>
  <si>
    <t>伊江村</t>
  </si>
  <si>
    <t>読谷村</t>
  </si>
  <si>
    <t>嘉手納町</t>
  </si>
  <si>
    <t>北谷町</t>
  </si>
  <si>
    <t>北中城村</t>
  </si>
  <si>
    <t>中城村</t>
  </si>
  <si>
    <t>西原町</t>
  </si>
  <si>
    <t>与那原町</t>
  </si>
  <si>
    <t>南風原町</t>
  </si>
  <si>
    <t>渡嘉敷村</t>
  </si>
  <si>
    <t>座間味村</t>
  </si>
  <si>
    <t>粟国村</t>
  </si>
  <si>
    <t>渡名喜村</t>
  </si>
  <si>
    <t>南大東村</t>
  </si>
  <si>
    <t>北大東村</t>
  </si>
  <si>
    <t>伊平屋村</t>
  </si>
  <si>
    <t>伊是名村</t>
  </si>
  <si>
    <t>久米島町</t>
  </si>
  <si>
    <t>八重瀬町</t>
  </si>
  <si>
    <t>多良間村</t>
  </si>
  <si>
    <t>竹富町</t>
  </si>
  <si>
    <t>与那国町</t>
  </si>
  <si>
    <t>⑤処遇改善加算ⅠまたはⅡを算定の届け出ているか</t>
    <rPh sb="1" eb="3">
      <t>ショグウ</t>
    </rPh>
    <rPh sb="3" eb="5">
      <t>カイゼン</t>
    </rPh>
    <rPh sb="5" eb="7">
      <t>カサン</t>
    </rPh>
    <rPh sb="13" eb="15">
      <t>サンテイ</t>
    </rPh>
    <rPh sb="16" eb="17">
      <t>トド</t>
    </rPh>
    <rPh sb="18" eb="19">
      <t>デ</t>
    </rPh>
    <phoneticPr fontId="13"/>
  </si>
  <si>
    <t>表11　選択様式</t>
    <rPh sb="0" eb="1">
      <t>ヒョウ</t>
    </rPh>
    <rPh sb="4" eb="6">
      <t>センタク</t>
    </rPh>
    <rPh sb="6" eb="8">
      <t>ヨウシキ</t>
    </rPh>
    <phoneticPr fontId="13"/>
  </si>
  <si>
    <t>令和８年度特例要件を誓約</t>
    <rPh sb="0" eb="2">
      <t>レイワ</t>
    </rPh>
    <rPh sb="3" eb="5">
      <t>ネンド</t>
    </rPh>
    <rPh sb="5" eb="7">
      <t>トクレイ</t>
    </rPh>
    <rPh sb="7" eb="9">
      <t>ヨウケン</t>
    </rPh>
    <rPh sb="10" eb="12">
      <t>セイヤク</t>
    </rPh>
    <phoneticPr fontId="13"/>
  </si>
  <si>
    <t>令和８年度特例要件を満たすことで、当該要件を満たすこととしている場合、
令和９年３月末までに職場環境等要件に係る取組を行うことを誓約します。</t>
    <phoneticPr fontId="13"/>
  </si>
  <si>
    <r>
      <t>令和８年度特例要件を満たさない場合、各加算区分の算定に必要な令和８年度中の職場環境等要件を満たす。
※</t>
    </r>
    <r>
      <rPr>
        <sz val="9"/>
        <rFont val="ＭＳ Ｐゴシック"/>
        <family val="3"/>
        <charset val="128"/>
      </rPr>
      <t>こちらを選択する場合には、</t>
    </r>
    <r>
      <rPr>
        <sz val="9"/>
        <color theme="1"/>
        <rFont val="ＭＳ Ｐゴシック"/>
        <family val="3"/>
        <charset val="128"/>
      </rPr>
      <t>下記の職場環境等要件の表にチェックをしてください。</t>
    </r>
    <rPh sb="0" eb="2">
      <t>レイワ</t>
    </rPh>
    <rPh sb="3" eb="5">
      <t>ネンド</t>
    </rPh>
    <rPh sb="5" eb="7">
      <t>トクレイ</t>
    </rPh>
    <rPh sb="7" eb="9">
      <t>ヨウケン</t>
    </rPh>
    <rPh sb="10" eb="11">
      <t>ミ</t>
    </rPh>
    <rPh sb="15" eb="17">
      <t>バアイ</t>
    </rPh>
    <rPh sb="18" eb="19">
      <t>カク</t>
    </rPh>
    <rPh sb="19" eb="21">
      <t>カサン</t>
    </rPh>
    <rPh sb="21" eb="23">
      <t>クブン</t>
    </rPh>
    <rPh sb="24" eb="26">
      <t>サンテイ</t>
    </rPh>
    <rPh sb="27" eb="29">
      <t>ヒツヨウ</t>
    </rPh>
    <rPh sb="30" eb="32">
      <t>レイワ</t>
    </rPh>
    <rPh sb="33" eb="35">
      <t>ネンド</t>
    </rPh>
    <rPh sb="35" eb="36">
      <t>チュウ</t>
    </rPh>
    <rPh sb="37" eb="44">
      <t>ショクバカンキョウトウヨウケン</t>
    </rPh>
    <rPh sb="45" eb="46">
      <t>ミ</t>
    </rPh>
    <rPh sb="55" eb="57">
      <t>センタク</t>
    </rPh>
    <rPh sb="59" eb="61">
      <t>バアイ</t>
    </rPh>
    <rPh sb="64" eb="66">
      <t>カキ</t>
    </rPh>
    <rPh sb="67" eb="69">
      <t>ショクバ</t>
    </rPh>
    <rPh sb="69" eb="71">
      <t>カンキョウ</t>
    </rPh>
    <rPh sb="71" eb="72">
      <t>トウ</t>
    </rPh>
    <rPh sb="72" eb="74">
      <t>ヨウケン</t>
    </rPh>
    <rPh sb="75" eb="76">
      <t>ヒョウ</t>
    </rPh>
    <phoneticPr fontId="13"/>
  </si>
  <si>
    <t>特例要件不要の場合の色消し</t>
    <rPh sb="0" eb="2">
      <t>トクレイ</t>
    </rPh>
    <rPh sb="2" eb="4">
      <t>ヨウケン</t>
    </rPh>
    <rPh sb="4" eb="6">
      <t>フヨウ</t>
    </rPh>
    <rPh sb="7" eb="9">
      <t>バアイ</t>
    </rPh>
    <rPh sb="10" eb="12">
      <t>イロケ</t>
    </rPh>
    <phoneticPr fontId="13"/>
  </si>
  <si>
    <t>⑤キャリアパス要件Ⅳについて（「令和８年度の算定予定」について）</t>
    <rPh sb="7" eb="9">
      <t>ヨウケン</t>
    </rPh>
    <rPh sb="16" eb="18">
      <t>レイワ</t>
    </rPh>
    <rPh sb="19" eb="21">
      <t>ネンド</t>
    </rPh>
    <rPh sb="22" eb="24">
      <t>サンテイ</t>
    </rPh>
    <rPh sb="24" eb="26">
      <t>ヨテイ</t>
    </rPh>
    <phoneticPr fontId="13"/>
  </si>
  <si>
    <t>実施する周知方法について、チェック（✔）すること。なお、令和８年度中の見込みでも差し支えない。</t>
    <rPh sb="33" eb="34">
      <t>チュウ</t>
    </rPh>
    <rPh sb="35" eb="37">
      <t>ミコミ</t>
    </rPh>
    <rPh sb="40" eb="41">
      <t>サ</t>
    </rPh>
    <rPh sb="42" eb="43">
      <t>ツカ</t>
    </rPh>
    <phoneticPr fontId="13"/>
  </si>
  <si>
    <r>
      <rPr>
        <sz val="9"/>
        <color theme="1"/>
        <rFont val="ＭＳ Ｐゴシック"/>
        <family val="3"/>
        <charset val="128"/>
      </rPr>
      <t>令和８年度</t>
    </r>
    <r>
      <rPr>
        <sz val="9"/>
        <rFont val="ＭＳ Ｐゴシック"/>
        <family val="3"/>
        <charset val="128"/>
      </rPr>
      <t>の賃金改善が必要な額以上の賃金改善を行う計画となっていること</t>
    </r>
    <rPh sb="0" eb="2">
      <t>レイワ</t>
    </rPh>
    <rPh sb="3" eb="5">
      <t>ネンド</t>
    </rPh>
    <rPh sb="6" eb="8">
      <t>チンギン</t>
    </rPh>
    <rPh sb="8" eb="10">
      <t>カイゼン</t>
    </rPh>
    <rPh sb="11" eb="13">
      <t>ヒツヨウ</t>
    </rPh>
    <rPh sb="14" eb="15">
      <t>ガク</t>
    </rPh>
    <rPh sb="23" eb="24">
      <t>オコナ</t>
    </rPh>
    <rPh sb="25" eb="27">
      <t>ケイカク</t>
    </rPh>
    <phoneticPr fontId="13"/>
  </si>
  <si>
    <t>キャリアパス要件Ⅰ～Ⅲのうち、満たす必要のある項目について、証明となる書面を作成し、職員に周知しました。また、計画書の提出時点で書面の準備ができていない場合は、令和８年度中（令和９年３月末まで）に書面を整備します。</t>
    <rPh sb="6" eb="8">
      <t>ヨウケン</t>
    </rPh>
    <rPh sb="15" eb="16">
      <t>ミ</t>
    </rPh>
    <rPh sb="18" eb="20">
      <t>ヒツヨウ</t>
    </rPh>
    <rPh sb="23" eb="25">
      <t>コウモク</t>
    </rPh>
    <rPh sb="30" eb="32">
      <t>ショウメイ</t>
    </rPh>
    <rPh sb="35" eb="37">
      <t>ショメン</t>
    </rPh>
    <rPh sb="38" eb="40">
      <t>サクセイ</t>
    </rPh>
    <rPh sb="42" eb="44">
      <t>ショクイン</t>
    </rPh>
    <rPh sb="45" eb="47">
      <t>シュウチ</t>
    </rPh>
    <rPh sb="49" eb="51">
      <t>ショクイン</t>
    </rPh>
    <rPh sb="55" eb="58">
      <t>ケイカクショ</t>
    </rPh>
    <rPh sb="59" eb="61">
      <t>テイシュツ</t>
    </rPh>
    <rPh sb="61" eb="63">
      <t>ジテン</t>
    </rPh>
    <rPh sb="64" eb="66">
      <t>ショメン</t>
    </rPh>
    <rPh sb="67" eb="69">
      <t>ジュンビ</t>
    </rPh>
    <rPh sb="76" eb="78">
      <t>バアイ</t>
    </rPh>
    <rPh sb="98" eb="100">
      <t>ショメン</t>
    </rPh>
    <rPh sb="101" eb="103">
      <t>セイビ</t>
    </rPh>
    <phoneticPr fontId="13"/>
  </si>
  <si>
    <t>各加算区分の算定に必要な要件を満たしていること又は令和８年度特例要件を満たし当該要件に係る取組を行うことを誓約していること</t>
    <rPh sb="0" eb="1">
      <t>カク</t>
    </rPh>
    <rPh sb="1" eb="3">
      <t>カサン</t>
    </rPh>
    <rPh sb="3" eb="5">
      <t>クブン</t>
    </rPh>
    <rPh sb="6" eb="8">
      <t>サンテイ</t>
    </rPh>
    <rPh sb="9" eb="11">
      <t>ヒツヨウ</t>
    </rPh>
    <rPh sb="12" eb="14">
      <t>ヨウケン</t>
    </rPh>
    <rPh sb="15" eb="16">
      <t>ミ</t>
    </rPh>
    <rPh sb="23" eb="24">
      <t>マタ</t>
    </rPh>
    <rPh sb="25" eb="27">
      <t>レイワ</t>
    </rPh>
    <rPh sb="28" eb="30">
      <t>ネンド</t>
    </rPh>
    <rPh sb="30" eb="32">
      <t>トクレイ</t>
    </rPh>
    <rPh sb="32" eb="34">
      <t>ヨウケン</t>
    </rPh>
    <rPh sb="35" eb="36">
      <t>ミ</t>
    </rPh>
    <rPh sb="38" eb="40">
      <t>トウガイ</t>
    </rPh>
    <rPh sb="40" eb="42">
      <t>ヨウケン</t>
    </rPh>
    <rPh sb="43" eb="44">
      <t>カカ</t>
    </rPh>
    <rPh sb="45" eb="47">
      <t>トリクミ</t>
    </rPh>
    <rPh sb="48" eb="49">
      <t>オコナ</t>
    </rPh>
    <rPh sb="53" eb="55">
      <t>セイヤク</t>
    </rPh>
    <phoneticPr fontId="13"/>
  </si>
  <si>
    <t>特例要件上の○の処理</t>
    <rPh sb="0" eb="2">
      <t>トクレイ</t>
    </rPh>
    <rPh sb="2" eb="4">
      <t>ヨウケン</t>
    </rPh>
    <rPh sb="4" eb="5">
      <t>ウエ</t>
    </rPh>
    <rPh sb="8" eb="10">
      <t>ショリ</t>
    </rPh>
    <phoneticPr fontId="13"/>
  </si>
  <si>
    <t>⑤の記入状況チェック</t>
    <rPh sb="2" eb="4">
      <t>キニュウ</t>
    </rPh>
    <rPh sb="4" eb="6">
      <t>ジョウキョウ</t>
    </rPh>
    <phoneticPr fontId="13"/>
  </si>
  <si>
    <t>⑤の記入状況チェック</t>
    <phoneticPr fontId="13"/>
  </si>
  <si>
    <t>４、５月</t>
    <rPh sb="3" eb="4">
      <t>ガツ</t>
    </rPh>
    <phoneticPr fontId="13"/>
  </si>
  <si>
    <t>６月以降</t>
    <rPh sb="1" eb="2">
      <t>ガツ</t>
    </rPh>
    <rPh sb="2" eb="4">
      <t>イコウ</t>
    </rPh>
    <phoneticPr fontId="13"/>
  </si>
  <si>
    <t>別紙様式2-2、2-3「②・③キャリアパス要件Ⅰ・Ⅱ」の欄から転記（詳しい要件の内容は参考シートを参照）</t>
    <rPh sb="31" eb="33">
      <t>テンキ</t>
    </rPh>
    <phoneticPr fontId="13"/>
  </si>
  <si>
    <t>別紙様式2-2、2-3「⑤キャリアパス要件Ⅳ」の欄から転記</t>
    <phoneticPr fontId="13"/>
  </si>
  <si>
    <t>別紙様式2-2、2-3「⑥キャリアパス要件Ⅴ」の欄から転記</t>
    <rPh sb="19" eb="21">
      <t>ヨウケン</t>
    </rPh>
    <phoneticPr fontId="13"/>
  </si>
  <si>
    <t>訪問看護特例要件入力チェック</t>
    <rPh sb="0" eb="2">
      <t>ホウモン</t>
    </rPh>
    <rPh sb="2" eb="4">
      <t>カンゴ</t>
    </rPh>
    <rPh sb="4" eb="6">
      <t>トクレイ</t>
    </rPh>
    <rPh sb="6" eb="8">
      <t>ヨウケン</t>
    </rPh>
    <rPh sb="8" eb="10">
      <t>ニュウリョク</t>
    </rPh>
    <phoneticPr fontId="13"/>
  </si>
  <si>
    <t>別紙様式2-2、2-3「④キャリアパス要件Ⅲ」の欄から転記（詳しい要件の内容は参考シートを参照）</t>
    <phoneticPr fontId="13"/>
  </si>
  <si>
    <t>北海道</t>
    <phoneticPr fontId="13"/>
  </si>
  <si>
    <t>○</t>
  </si>
  <si>
    <t>新規対象サービスの特例要件判定</t>
    <rPh sb="0" eb="2">
      <t>シンキ</t>
    </rPh>
    <rPh sb="2" eb="4">
      <t>タイショウ</t>
    </rPh>
    <rPh sb="9" eb="11">
      <t>トクレイ</t>
    </rPh>
    <rPh sb="11" eb="13">
      <t>ヨウケン</t>
    </rPh>
    <rPh sb="13" eb="15">
      <t>ハンテイ</t>
    </rPh>
    <phoneticPr fontId="13"/>
  </si>
  <si>
    <r>
      <rPr>
        <sz val="11"/>
        <rFont val="ＭＳ Ｐゴシック"/>
        <family val="3"/>
        <charset val="128"/>
      </rPr>
      <t>従来から処遇改善加算の対象となっていたサービス</t>
    </r>
    <rPh sb="0" eb="2">
      <t>ジュウライ</t>
    </rPh>
    <rPh sb="4" eb="8">
      <t>ショグウカイゼン</t>
    </rPh>
    <rPh sb="8" eb="10">
      <t>カサン</t>
    </rPh>
    <rPh sb="11" eb="13">
      <t>タイショウ</t>
    </rPh>
    <phoneticPr fontId="13"/>
  </si>
  <si>
    <r>
      <t>令和８年６月</t>
    </r>
    <r>
      <rPr>
        <sz val="11"/>
        <rFont val="ＭＳ Ｐゴシック"/>
        <family val="3"/>
        <charset val="128"/>
      </rPr>
      <t>から新たに処遇改善加算の対象となるサービス</t>
    </r>
    <rPh sb="5" eb="6">
      <t>ガツ</t>
    </rPh>
    <rPh sb="8" eb="9">
      <t>アラ</t>
    </rPh>
    <phoneticPr fontId="13"/>
  </si>
  <si>
    <r>
      <t>●自動転記の仕組みを活用するため、下記の作業フローに基づき、シートを完成させてください。
●「提出先の自治体名」を記入すると、</t>
    </r>
    <r>
      <rPr>
        <sz val="11"/>
        <rFont val="ＭＳ Ｐゴシック"/>
        <family val="3"/>
        <charset val="128"/>
      </rPr>
      <t xml:space="preserve">別紙2-2及び2-3までの「提出先」欄も、自動で更新されます。
　提出先が正しく記入されていることを必ずご確認ください。
</t>
    </r>
    <rPh sb="17" eb="19">
      <t>カキ</t>
    </rPh>
    <rPh sb="20" eb="22">
      <t>サギョウ</t>
    </rPh>
    <rPh sb="26" eb="27">
      <t>モト</t>
    </rPh>
    <rPh sb="68" eb="69">
      <t>オヨ</t>
    </rPh>
    <phoneticPr fontId="13"/>
  </si>
  <si>
    <t>・処遇改善加算として給付される額は、職員の賃金改善のために全額支出します。
・また、処遇改善加算による賃金改善以外の部分で賃金水準を引き下げません。
・令和７年度と比較して令和８年度に増加した加算額について、独自の賃金改善を含む過去の賃金改善の実績に関わらず、新たな賃金改善を行います。</t>
    <rPh sb="1" eb="3">
      <t>ショグウ</t>
    </rPh>
    <rPh sb="3" eb="7">
      <t>カイゼンカサン</t>
    </rPh>
    <rPh sb="10" eb="12">
      <t>キュウフ</t>
    </rPh>
    <rPh sb="15" eb="16">
      <t>ガク</t>
    </rPh>
    <rPh sb="18" eb="20">
      <t>ショクイン</t>
    </rPh>
    <rPh sb="21" eb="23">
      <t>チンギン</t>
    </rPh>
    <rPh sb="23" eb="25">
      <t>カイゼン</t>
    </rPh>
    <rPh sb="29" eb="31">
      <t>ゼンガク</t>
    </rPh>
    <rPh sb="31" eb="33">
      <t>シシュツ</t>
    </rPh>
    <rPh sb="96" eb="98">
      <t>カサン</t>
    </rPh>
    <rPh sb="98" eb="99">
      <t>ガク</t>
    </rPh>
    <rPh sb="104" eb="106">
      <t>ドクジ</t>
    </rPh>
    <rPh sb="107" eb="109">
      <t>チンギン</t>
    </rPh>
    <rPh sb="109" eb="111">
      <t>カイゼン</t>
    </rPh>
    <rPh sb="112" eb="113">
      <t>フク</t>
    </rPh>
    <rPh sb="114" eb="116">
      <t>カコ</t>
    </rPh>
    <rPh sb="117" eb="119">
      <t>チンギン</t>
    </rPh>
    <rPh sb="119" eb="121">
      <t>カイゼン</t>
    </rPh>
    <rPh sb="122" eb="124">
      <t>ジッセキ</t>
    </rPh>
    <rPh sb="125" eb="126">
      <t>カカ</t>
    </rPh>
    <rPh sb="130" eb="131">
      <t>アラ</t>
    </rPh>
    <rPh sb="133" eb="135">
      <t>チンギン</t>
    </rPh>
    <rPh sb="135" eb="137">
      <t>カイゼン</t>
    </rPh>
    <rPh sb="138" eb="139">
      <t>オコナ</t>
    </rPh>
    <phoneticPr fontId="13"/>
  </si>
  <si>
    <t>処遇改善加算Ⅰロ</t>
  </si>
  <si>
    <t>キャリアパス要件Ⅳ</t>
    <rPh sb="6" eb="8">
      <t>ヨウケン</t>
    </rPh>
    <phoneticPr fontId="13"/>
  </si>
  <si>
    <t>計画書（福祉・介護職員等処遇改善加算）
基本情報入力シート</t>
    <rPh sb="4" eb="6">
      <t>フクシ</t>
    </rPh>
    <rPh sb="7" eb="9">
      <t>カイゴ</t>
    </rPh>
    <rPh sb="9" eb="11">
      <t>ショクイン</t>
    </rPh>
    <rPh sb="11" eb="12">
      <t>トウ</t>
    </rPh>
    <rPh sb="12" eb="14">
      <t>ショグウ</t>
    </rPh>
    <rPh sb="14" eb="16">
      <t>カイゼン</t>
    </rPh>
    <rPh sb="16" eb="18">
      <t>カサン</t>
    </rPh>
    <phoneticPr fontId="13"/>
  </si>
  <si>
    <t>【重要】本計画書は、福祉・介護職員等処遇改善加算の申請様式です。</t>
    <rPh sb="4" eb="5">
      <t>ホン</t>
    </rPh>
    <rPh sb="5" eb="8">
      <t>ケイカクショ</t>
    </rPh>
    <rPh sb="10" eb="12">
      <t>フクシ</t>
    </rPh>
    <rPh sb="13" eb="24">
      <t>カイゴショクイントウショグウカイゼンカサン</t>
    </rPh>
    <rPh sb="25" eb="27">
      <t>シンセイ</t>
    </rPh>
    <rPh sb="27" eb="29">
      <t>ヨウシキ</t>
    </rPh>
    <phoneticPr fontId="13"/>
  </si>
  <si>
    <t>※　「一月あたり障害福祉サービス等報酬総額」は、 一月あたり障害福祉サービス等報酬総額として見込まれる額を、前年１月から12月までの12か月間のサービス別の障害福祉サービス等報酬総額（処遇改善加算等の各種加算減算を含む。）を12で除するなどの適切な方法によって推計し、事業所ごとに記載してください。
　また、「一月あたり処遇改善加算の総額」は、前年１月から12月までの処遇改善加算の単位数の合計を12で除するなどの方法によって推計し、事業所ごとに記載してください。
　なお、令和８年度に事業拡大等に伴う報酬総額の増減が見込まれる場合には、加算についての適切な計画を策定するため、それらの増減の見込を反映させる等の調整を行っても差し支えありません。</t>
    <rPh sb="8" eb="10">
      <t>ショウガイ</t>
    </rPh>
    <rPh sb="10" eb="12">
      <t>フクシ</t>
    </rPh>
    <rPh sb="16" eb="17">
      <t>トウ</t>
    </rPh>
    <rPh sb="20" eb="21">
      <t>ガク</t>
    </rPh>
    <rPh sb="30" eb="32">
      <t>ショウガイ</t>
    </rPh>
    <rPh sb="32" eb="34">
      <t>フクシ</t>
    </rPh>
    <rPh sb="38" eb="39">
      <t>トウ</t>
    </rPh>
    <rPh sb="39" eb="41">
      <t>ホウシュウ</t>
    </rPh>
    <rPh sb="41" eb="43">
      <t>ソウガク</t>
    </rPh>
    <rPh sb="51" eb="52">
      <t>ガク</t>
    </rPh>
    <rPh sb="76" eb="77">
      <t>ベツ</t>
    </rPh>
    <rPh sb="167" eb="169">
      <t>ソウガク</t>
    </rPh>
    <rPh sb="251" eb="253">
      <t>ホウシュウ</t>
    </rPh>
    <rPh sb="253" eb="255">
      <t>ソウガク</t>
    </rPh>
    <phoneticPr fontId="13"/>
  </si>
  <si>
    <t>記入漏れがないことを確認しました。</t>
    <rPh sb="0" eb="2">
      <t>キニュウ</t>
    </rPh>
    <rPh sb="2" eb="3">
      <t>モ</t>
    </rPh>
    <rPh sb="10" eb="12">
      <t>カクニン</t>
    </rPh>
    <phoneticPr fontId="13"/>
  </si>
  <si>
    <t>障害福祉サービス等事業所番号</t>
    <rPh sb="0" eb="2">
      <t>ショウガイ</t>
    </rPh>
    <rPh sb="2" eb="4">
      <t>フクシ</t>
    </rPh>
    <rPh sb="8" eb="9">
      <t>トウ</t>
    </rPh>
    <rPh sb="9" eb="11">
      <t>ジギョウ</t>
    </rPh>
    <rPh sb="11" eb="12">
      <t>ショ</t>
    </rPh>
    <rPh sb="12" eb="14">
      <t>バンゴウ</t>
    </rPh>
    <phoneticPr fontId="13"/>
  </si>
  <si>
    <t>一月あたり障害福祉サービス等報酬総額［円］</t>
    <rPh sb="5" eb="7">
      <t>ショウガイ</t>
    </rPh>
    <rPh sb="7" eb="9">
      <t>フクシ</t>
    </rPh>
    <rPh sb="13" eb="14">
      <t>トウ</t>
    </rPh>
    <rPh sb="14" eb="16">
      <t>ホウシュウ</t>
    </rPh>
    <rPh sb="16" eb="18">
      <t>ソウガク</t>
    </rPh>
    <rPh sb="19" eb="20">
      <t>エン</t>
    </rPh>
    <phoneticPr fontId="13"/>
  </si>
  <si>
    <t>一月あたり処遇改善加算の総額[円]</t>
    <rPh sb="12" eb="14">
      <t>ソウガク</t>
    </rPh>
    <rPh sb="15" eb="16">
      <t>エン</t>
    </rPh>
    <phoneticPr fontId="13"/>
  </si>
  <si>
    <t>一月あたり障害福祉サービス等報酬総額（処遇改善加算を除く）[円]</t>
    <rPh sb="5" eb="7">
      <t>ショウガイ</t>
    </rPh>
    <rPh sb="7" eb="9">
      <t>フクシ</t>
    </rPh>
    <rPh sb="13" eb="14">
      <t>トウ</t>
    </rPh>
    <rPh sb="14" eb="16">
      <t>ホウシュウ</t>
    </rPh>
    <rPh sb="16" eb="18">
      <t>ソウガク</t>
    </rPh>
    <rPh sb="19" eb="23">
      <t>ショグウカイゼン</t>
    </rPh>
    <rPh sb="23" eb="25">
      <t>カサン</t>
    </rPh>
    <rPh sb="26" eb="27">
      <t>ノゾ</t>
    </rPh>
    <rPh sb="30" eb="31">
      <t>エン</t>
    </rPh>
    <phoneticPr fontId="13"/>
  </si>
  <si>
    <t>障害福祉サービス等事業所番号</t>
    <rPh sb="0" eb="2">
      <t>ショウガイ</t>
    </rPh>
    <rPh sb="2" eb="4">
      <t>フクシ</t>
    </rPh>
    <rPh sb="8" eb="9">
      <t>トウ</t>
    </rPh>
    <rPh sb="9" eb="12">
      <t>ジギョウショ</t>
    </rPh>
    <rPh sb="12" eb="14">
      <t>バンゴウ</t>
    </rPh>
    <phoneticPr fontId="13"/>
  </si>
  <si>
    <t>加算率
(b)</t>
    <rPh sb="0" eb="1">
      <t>カ</t>
    </rPh>
    <rPh sb="1" eb="2">
      <t>ザン</t>
    </rPh>
    <rPh sb="2" eb="3">
      <t>リツ</t>
    </rPh>
    <phoneticPr fontId="13"/>
  </si>
  <si>
    <t>算定対象月
(c)
※通常は令和８年４月・５月</t>
    <rPh sb="0" eb="2">
      <t>サンテイ</t>
    </rPh>
    <rPh sb="2" eb="4">
      <t>タイショウ</t>
    </rPh>
    <rPh sb="4" eb="5">
      <t>ツキ</t>
    </rPh>
    <rPh sb="16" eb="18">
      <t>レイワ</t>
    </rPh>
    <rPh sb="19" eb="20">
      <t>ネン</t>
    </rPh>
    <phoneticPr fontId="13"/>
  </si>
  <si>
    <t>処遇改善加算の
見込額[円]
(a×b×c)</t>
    <rPh sb="8" eb="10">
      <t>ミコ</t>
    </rPh>
    <rPh sb="10" eb="11">
      <t>ガク</t>
    </rPh>
    <phoneticPr fontId="13"/>
  </si>
  <si>
    <t>配置等要件の状況が分かる加算の算定状況</t>
    <phoneticPr fontId="13"/>
  </si>
  <si>
    <t>処遇改善加算Ⅰ・Ⅱの算定を届け出た事業所数</t>
    <rPh sb="10" eb="12">
      <t>サンテイ</t>
    </rPh>
    <phoneticPr fontId="13"/>
  </si>
  <si>
    <t>一月あたり障害福祉サービス等報酬総額（処遇改善加算を除く）[円]
(a)</t>
    <phoneticPr fontId="13"/>
  </si>
  <si>
    <t>算定対象月
(c)
※通常は令和８年６月から令和９年３月</t>
    <rPh sb="0" eb="2">
      <t>サンテイ</t>
    </rPh>
    <rPh sb="2" eb="4">
      <t>タイショウ</t>
    </rPh>
    <rPh sb="4" eb="5">
      <t>ツキ</t>
    </rPh>
    <rPh sb="16" eb="18">
      <t>レイワ</t>
    </rPh>
    <rPh sb="19" eb="20">
      <t>ネン</t>
    </rPh>
    <rPh sb="24" eb="26">
      <t>レイワ</t>
    </rPh>
    <rPh sb="27" eb="28">
      <t>ネン</t>
    </rPh>
    <rPh sb="29" eb="30">
      <t>ツキ</t>
    </rPh>
    <phoneticPr fontId="13"/>
  </si>
  <si>
    <t>一月あたり
障害福祉サービス等報酬総額
（処遇改善加算を除く）[円]
(a)</t>
    <rPh sb="6" eb="8">
      <t>ショウガイ</t>
    </rPh>
    <rPh sb="8" eb="10">
      <t>フクシ</t>
    </rPh>
    <rPh sb="14" eb="15">
      <t>トウ</t>
    </rPh>
    <rPh sb="15" eb="17">
      <t>ホウシュウ</t>
    </rPh>
    <rPh sb="17" eb="19">
      <t>ソウガク</t>
    </rPh>
    <rPh sb="32" eb="33">
      <t>エン</t>
    </rPh>
    <phoneticPr fontId="13"/>
  </si>
  <si>
    <t>福祉・介護職員等処遇改善加算 処遇改善計画書（令和８年度）</t>
    <rPh sb="0" eb="2">
      <t>フクシ</t>
    </rPh>
    <phoneticPr fontId="13"/>
  </si>
  <si>
    <t>３　福祉・介護職員等処遇改善加算の要件について</t>
    <rPh sb="2" eb="4">
      <t>フクシ</t>
    </rPh>
    <rPh sb="5" eb="7">
      <t>カイゴ</t>
    </rPh>
    <rPh sb="7" eb="9">
      <t>ショクイン</t>
    </rPh>
    <rPh sb="9" eb="10">
      <t>トウ</t>
    </rPh>
    <rPh sb="10" eb="12">
      <t>ショグウ</t>
    </rPh>
    <rPh sb="12" eb="14">
      <t>カイゼン</t>
    </rPh>
    <rPh sb="14" eb="16">
      <t>カサン</t>
    </rPh>
    <rPh sb="17" eb="19">
      <t>ヨウケン</t>
    </rPh>
    <phoneticPr fontId="13"/>
  </si>
  <si>
    <t>令和８年度の賃金改善の見込額
（①の額以上となること。障害福祉従事者処遇改善緊急支援事業から賃金に充てた額を除く。）</t>
    <rPh sb="27" eb="44">
      <t>ショウガイフクシジュウジシャショグウカイゼンキンキュウシエンジギョウ</t>
    </rPh>
    <rPh sb="46" eb="48">
      <t>チンギン</t>
    </rPh>
    <rPh sb="49" eb="50">
      <t>ア</t>
    </rPh>
    <rPh sb="52" eb="53">
      <t>ガク</t>
    </rPh>
    <rPh sb="54" eb="55">
      <t>ノゾ</t>
    </rPh>
    <phoneticPr fontId="13"/>
  </si>
  <si>
    <t>令和７年度と比較した令和８年度の増加分の配分方法</t>
    <rPh sb="0" eb="2">
      <t>レイワ</t>
    </rPh>
    <rPh sb="3" eb="5">
      <t>ネンド</t>
    </rPh>
    <rPh sb="6" eb="8">
      <t>ヒカク</t>
    </rPh>
    <rPh sb="10" eb="12">
      <t>レイワ</t>
    </rPh>
    <rPh sb="13" eb="15">
      <t>ネンド</t>
    </rPh>
    <rPh sb="16" eb="18">
      <t>ゾウカ</t>
    </rPh>
    <rPh sb="18" eb="19">
      <t>ブン</t>
    </rPh>
    <rPh sb="20" eb="22">
      <t>ハイブン</t>
    </rPh>
    <rPh sb="22" eb="24">
      <t>ホウホウ</t>
    </rPh>
    <phoneticPr fontId="13"/>
  </si>
  <si>
    <t>③</t>
    <phoneticPr fontId="13"/>
  </si>
  <si>
    <t>令和７年度と比較して令和８年度に増加する加算の見込額（再掲）</t>
    <rPh sb="20" eb="22">
      <t>カサン</t>
    </rPh>
    <rPh sb="23" eb="25">
      <t>ミコミ</t>
    </rPh>
    <rPh sb="25" eb="26">
      <t>ガク</t>
    </rPh>
    <rPh sb="27" eb="29">
      <t>サイケイ</t>
    </rPh>
    <phoneticPr fontId="13"/>
  </si>
  <si>
    <t>④</t>
    <phoneticPr fontId="13"/>
  </si>
  <si>
    <r>
      <t>令和８年度に③を原資として行う新たな賃金改善の見込額</t>
    </r>
    <r>
      <rPr>
        <sz val="8"/>
        <rFont val="ＭＳ Ｐゴシック"/>
        <family val="3"/>
        <charset val="128"/>
      </rPr>
      <t>（ベースアップ（基本給及び決まって毎月支払われる手当の一律の引上げ）によるもの）</t>
    </r>
    <rPh sb="0" eb="2">
      <t>レイワ</t>
    </rPh>
    <rPh sb="3" eb="5">
      <t>ネンド</t>
    </rPh>
    <rPh sb="8" eb="10">
      <t>ゲンシ</t>
    </rPh>
    <rPh sb="13" eb="14">
      <t>オコナ</t>
    </rPh>
    <rPh sb="15" eb="16">
      <t>アラ</t>
    </rPh>
    <rPh sb="18" eb="20">
      <t>チンギン</t>
    </rPh>
    <rPh sb="20" eb="22">
      <t>カイゼン</t>
    </rPh>
    <rPh sb="23" eb="25">
      <t>ミコミ</t>
    </rPh>
    <rPh sb="25" eb="26">
      <t>ガク</t>
    </rPh>
    <rPh sb="34" eb="37">
      <t>キホンキュウ</t>
    </rPh>
    <rPh sb="37" eb="38">
      <t>オヨ</t>
    </rPh>
    <rPh sb="39" eb="40">
      <t>キ</t>
    </rPh>
    <rPh sb="43" eb="45">
      <t>マイツキ</t>
    </rPh>
    <rPh sb="45" eb="47">
      <t>シハラ</t>
    </rPh>
    <rPh sb="50" eb="52">
      <t>テアテ</t>
    </rPh>
    <rPh sb="53" eb="55">
      <t>イチリツ</t>
    </rPh>
    <rPh sb="56" eb="58">
      <t>ヒキア</t>
    </rPh>
    <phoneticPr fontId="13"/>
  </si>
  <si>
    <t>⑤</t>
    <phoneticPr fontId="13"/>
  </si>
  <si>
    <t>④以外で、その他の手当、一時金等による新たな賃金改善の見込額</t>
    <rPh sb="1" eb="3">
      <t>イガイ</t>
    </rPh>
    <rPh sb="9" eb="11">
      <t>テアテ</t>
    </rPh>
    <rPh sb="15" eb="16">
      <t>トウ</t>
    </rPh>
    <rPh sb="19" eb="20">
      <t>アラ</t>
    </rPh>
    <rPh sb="22" eb="24">
      <t>チンギン</t>
    </rPh>
    <rPh sb="24" eb="26">
      <t>カイゼン</t>
    </rPh>
    <rPh sb="27" eb="29">
      <t>ミコミ</t>
    </rPh>
    <rPh sb="29" eb="30">
      <t>ガク</t>
    </rPh>
    <phoneticPr fontId="13"/>
  </si>
  <si>
    <t>⑥</t>
    <phoneticPr fontId="13"/>
  </si>
  <si>
    <t>新たな賃金改善の見込額の合計（e＋ｆ）</t>
    <rPh sb="0" eb="1">
      <t>アラ</t>
    </rPh>
    <rPh sb="3" eb="5">
      <t>チンギン</t>
    </rPh>
    <rPh sb="5" eb="7">
      <t>カイゼン</t>
    </rPh>
    <rPh sb="8" eb="10">
      <t>ミコミ</t>
    </rPh>
    <rPh sb="10" eb="11">
      <t>ガク</t>
    </rPh>
    <rPh sb="12" eb="14">
      <t>ゴウケイ</t>
    </rPh>
    <phoneticPr fontId="13"/>
  </si>
  <si>
    <t>(ｃ)には、令和８年度に実施する賃金改善の見込額を計算し、記入すること。
その際、加算による賃金改善を行った場合の法定福利費等の事業主負担の増加分を含めることができる。</t>
    <rPh sb="6" eb="8">
      <t>レイワ</t>
    </rPh>
    <rPh sb="9" eb="11">
      <t>ネンド</t>
    </rPh>
    <rPh sb="12" eb="14">
      <t>ジッシ</t>
    </rPh>
    <rPh sb="16" eb="18">
      <t>チンギン</t>
    </rPh>
    <rPh sb="18" eb="20">
      <t>カイゼン</t>
    </rPh>
    <rPh sb="21" eb="23">
      <t>ミコミ</t>
    </rPh>
    <rPh sb="23" eb="24">
      <t>ガク</t>
    </rPh>
    <rPh sb="29" eb="31">
      <t>キニュウ</t>
    </rPh>
    <rPh sb="39" eb="40">
      <t>サイ</t>
    </rPh>
    <phoneticPr fontId="13"/>
  </si>
  <si>
    <t>（５）キャリアパス要件Ⅴ（配置等要件）　</t>
    <rPh sb="9" eb="11">
      <t>ヨウケン</t>
    </rPh>
    <rPh sb="15" eb="16">
      <t>トウ</t>
    </rPh>
    <phoneticPr fontId="13"/>
  </si>
  <si>
    <t>①法人や事業所の経営理念や支援方針・人材育成方針、その実現のための施策・仕組みなどの明確化</t>
    <phoneticPr fontId="13"/>
  </si>
  <si>
    <t>③他産業からの転職者、主婦層、中高年齢者等、経験者・有資格者等にこだわらない幅広い採用の仕組みの構築（採用の実績でも可）</t>
    <phoneticPr fontId="13"/>
  </si>
  <si>
    <t>④職業体験の受入れや地域行事への参加や主催等による職業魅力向上の取組の実施</t>
    <phoneticPr fontId="13"/>
  </si>
  <si>
    <t>⑤働きながら国家資格等の取得を目指す者に対する研修受講支援や、より専門性の高い支援技術を取得しようとする者に対する各国家資格の生涯研修制度、サービス管理責任者研修、喀痰吸引研修、強度行動障害支援者養成研修等の業務関連専門技術研修の受講支援等</t>
    <phoneticPr fontId="13"/>
  </si>
  <si>
    <t>⑥研修の受講やキャリア段位制度と人事考課との連動によるキャリアサポート制度等の導入</t>
    <phoneticPr fontId="13"/>
  </si>
  <si>
    <t>⑨子育てや家族等の介護等と仕事の両立を目指すための休業制度等の充実、事業所内託児施設の整備</t>
    <phoneticPr fontId="13"/>
  </si>
  <si>
    <t>⑪有給休暇を取得しやすい雰囲気・意識作りのため、具体的な取得目標（例えば、１週間以上の休暇を年に●回取得、付与日数のうち●％以上を取得）を定めた上で、取得状況を定期的に確認し、身近な上司等からの積極的な声かけ等に取り組んでいる</t>
    <phoneticPr fontId="13"/>
  </si>
  <si>
    <t>⑫有給休暇の取得促進のため、情報共有や複数担当制等により、業務の属人化の解消、業務配分の偏りの解消に取り組んでいる</t>
    <phoneticPr fontId="13"/>
  </si>
  <si>
    <t>⑬障害を有する者でも働きやすい職場環境の構築や勤務シフトの配慮</t>
    <phoneticPr fontId="13"/>
  </si>
  <si>
    <t>⑭業務や福利厚生制度、メンタルヘルス等の職員相談窓口の設置等相談体制の充実</t>
    <phoneticPr fontId="13"/>
  </si>
  <si>
    <t>⑮短時間勤務労働者等も受診可能な健康診断・ストレスチェックや、従業者のための休憩室の設置等健康管理対策の実施</t>
    <phoneticPr fontId="13"/>
  </si>
  <si>
    <t>⑰事故・トラブルへの対応マニュアル等の作成等の体制の整備</t>
    <phoneticPr fontId="13"/>
  </si>
  <si>
    <t>㉑業務支援ソフト（記録、情報共有、請求業務転記が不要なもの。）、情報端末（タブレット端末、スマートフォン端末等）の導入</t>
    <phoneticPr fontId="13"/>
  </si>
  <si>
    <t>㉗利用者本位の支援方針など障害福祉や法人の理念等を定期的に学ぶ機会の提供</t>
    <phoneticPr fontId="13"/>
  </si>
  <si>
    <t>㉘支援の好事例や、利用者やその家族からの謝意等の情報を共有する機会の提供</t>
    <phoneticPr fontId="13"/>
  </si>
  <si>
    <t>⑯福祉・介護職員の身体の負担軽減のための介護技術の修得支援やリフト等の活用、職員に対する腰痛対策の研修、管理者に対する雇用管理改善の研修等の実施</t>
    <phoneticPr fontId="13"/>
  </si>
  <si>
    <t>㉓業務内容の明確化と役割分担を行い、福祉・介護職員が支援に集中できる環境を整備。特に、間接業務（食事等の準備や片付け、清掃、ベッドメイク、ゴミ捨て等）がある場合は、間接支援業務に従事する者の活用や外注等で担うなど、役割の見直しやシフトの組み換え等を行う。​</t>
    <phoneticPr fontId="13"/>
  </si>
  <si>
    <t>㉕ミーティング等による職場内コミュニケーションの円滑化による個々の福祉・介護職員の気づきを踏まえた勤務環境や支援内容の改善</t>
    <phoneticPr fontId="13"/>
  </si>
  <si>
    <t>㉖地域社会への参加・包容（インクルージョン）の推進のため、モチベーション向上に資する、地域の児童・生徒や住民との交流の実施</t>
    <phoneticPr fontId="13"/>
  </si>
  <si>
    <t>職場環境等要件の28項目のうち、実施する取組項目の「障害福祉サービス等情報公表システム」（「事業所の特色」欄）での選択</t>
    <rPh sb="0" eb="2">
      <t>ショクバ</t>
    </rPh>
    <rPh sb="2" eb="4">
      <t>カンキョウ</t>
    </rPh>
    <rPh sb="4" eb="5">
      <t>トウ</t>
    </rPh>
    <rPh sb="5" eb="7">
      <t>ヨウケン</t>
    </rPh>
    <rPh sb="10" eb="12">
      <t>コウモク</t>
    </rPh>
    <rPh sb="16" eb="18">
      <t>ジッシ</t>
    </rPh>
    <rPh sb="20" eb="22">
      <t>トリクミ</t>
    </rPh>
    <rPh sb="22" eb="24">
      <t>コウモク</t>
    </rPh>
    <rPh sb="26" eb="28">
      <t>ショウガイ</t>
    </rPh>
    <rPh sb="28" eb="30">
      <t>フクシ</t>
    </rPh>
    <rPh sb="34" eb="35">
      <t>トウ</t>
    </rPh>
    <rPh sb="35" eb="37">
      <t>ジョウホウ</t>
    </rPh>
    <rPh sb="37" eb="39">
      <t>コウヒョウ</t>
    </rPh>
    <rPh sb="57" eb="59">
      <t>センタク</t>
    </rPh>
    <phoneticPr fontId="13"/>
  </si>
  <si>
    <t>生産性向上や協働化に取り組む事業者の福祉・介護職員に対する上乗せの賃上げ支援</t>
    <rPh sb="0" eb="3">
      <t>セイサンセイ</t>
    </rPh>
    <rPh sb="3" eb="5">
      <t>コウジョウ</t>
    </rPh>
    <rPh sb="6" eb="8">
      <t>キョウドウ</t>
    </rPh>
    <rPh sb="8" eb="9">
      <t>カ</t>
    </rPh>
    <rPh sb="10" eb="11">
      <t>ト</t>
    </rPh>
    <rPh sb="12" eb="13">
      <t>ク</t>
    </rPh>
    <rPh sb="14" eb="17">
      <t>ジギョウシャ</t>
    </rPh>
    <rPh sb="18" eb="20">
      <t>フクシ</t>
    </rPh>
    <rPh sb="21" eb="23">
      <t>カイゴ</t>
    </rPh>
    <rPh sb="23" eb="25">
      <t>ショクイン</t>
    </rPh>
    <rPh sb="26" eb="27">
      <t>タイ</t>
    </rPh>
    <rPh sb="29" eb="31">
      <t>ウワノ</t>
    </rPh>
    <rPh sb="33" eb="35">
      <t>チンア</t>
    </rPh>
    <rPh sb="36" eb="38">
      <t>シエン</t>
    </rPh>
    <phoneticPr fontId="13"/>
  </si>
  <si>
    <t>期間中に事業所が休廃止した場合には、一時金等により福祉・介護職員その他の職員の賃金として配分します。</t>
    <rPh sb="25" eb="27">
      <t>フクシ</t>
    </rPh>
    <phoneticPr fontId="13"/>
  </si>
  <si>
    <t>３　福祉・介護職員等処遇改善加算の要件について</t>
    <rPh sb="2" eb="4">
      <t>フクシ</t>
    </rPh>
    <phoneticPr fontId="13"/>
  </si>
  <si>
    <t>キャリアパス要件Ⅴ（配置等要件）を満たすこと</t>
    <rPh sb="12" eb="13">
      <t>トウ</t>
    </rPh>
    <rPh sb="17" eb="18">
      <t>ミ</t>
    </rPh>
    <phoneticPr fontId="13"/>
  </si>
  <si>
    <t>障害福祉サービス等情報公表システム等での見える化要件を満たすこと</t>
    <rPh sb="0" eb="2">
      <t>ショウガイ</t>
    </rPh>
    <rPh sb="2" eb="4">
      <t>フクシ</t>
    </rPh>
    <rPh sb="8" eb="9">
      <t>トウ</t>
    </rPh>
    <rPh sb="9" eb="11">
      <t>ジョウホウ</t>
    </rPh>
    <rPh sb="11" eb="13">
      <t>コウヒョウ</t>
    </rPh>
    <rPh sb="17" eb="18">
      <t>トウ</t>
    </rPh>
    <rPh sb="20" eb="21">
      <t>ミ</t>
    </rPh>
    <rPh sb="23" eb="24">
      <t>カ</t>
    </rPh>
    <rPh sb="24" eb="26">
      <t>ヨウケン</t>
    </rPh>
    <rPh sb="27" eb="28">
      <t>ミ</t>
    </rPh>
    <phoneticPr fontId="13"/>
  </si>
  <si>
    <t>居宅介護</t>
  </si>
  <si>
    <t>11</t>
  </si>
  <si>
    <t>重度訪問介護</t>
  </si>
  <si>
    <t>12</t>
  </si>
  <si>
    <t>同行援護</t>
  </si>
  <si>
    <t>15</t>
  </si>
  <si>
    <t>行動援護</t>
  </si>
  <si>
    <t>13</t>
  </si>
  <si>
    <t>重度障害者等包括支援</t>
  </si>
  <si>
    <t>14</t>
  </si>
  <si>
    <t>生活介護</t>
  </si>
  <si>
    <t>22</t>
  </si>
  <si>
    <t>施設入所支援</t>
  </si>
  <si>
    <t>32</t>
  </si>
  <si>
    <t>短期入所</t>
    <rPh sb="0" eb="2">
      <t>タンキ</t>
    </rPh>
    <rPh sb="2" eb="4">
      <t>ニュウショ</t>
    </rPh>
    <phoneticPr fontId="63"/>
  </si>
  <si>
    <t>24</t>
  </si>
  <si>
    <t>療養介護</t>
  </si>
  <si>
    <t>21</t>
  </si>
  <si>
    <t>自立訓練（機能訓練）</t>
  </si>
  <si>
    <t>41</t>
  </si>
  <si>
    <t>自立訓練（生活訓練）</t>
  </si>
  <si>
    <t>42</t>
  </si>
  <si>
    <t>宿泊型自立訓練</t>
    <rPh sb="0" eb="3">
      <t>シュクハクガタ</t>
    </rPh>
    <rPh sb="3" eb="5">
      <t>ジリツ</t>
    </rPh>
    <rPh sb="5" eb="7">
      <t>クンレン</t>
    </rPh>
    <phoneticPr fontId="9"/>
  </si>
  <si>
    <t>34</t>
  </si>
  <si>
    <t>就労選択支援</t>
    <rPh sb="2" eb="4">
      <t>センタク</t>
    </rPh>
    <rPh sb="4" eb="6">
      <t>シエン</t>
    </rPh>
    <phoneticPr fontId="64"/>
  </si>
  <si>
    <t>48</t>
  </si>
  <si>
    <t>就労移行支援</t>
  </si>
  <si>
    <t>43</t>
  </si>
  <si>
    <t>就労移行支援（養成施設）</t>
    <rPh sb="7" eb="9">
      <t>ヨウセイ</t>
    </rPh>
    <rPh sb="9" eb="11">
      <t>シセツ</t>
    </rPh>
    <phoneticPr fontId="9"/>
  </si>
  <si>
    <t>44</t>
  </si>
  <si>
    <t>就労継続支援Ａ型</t>
  </si>
  <si>
    <t>45</t>
  </si>
  <si>
    <t>就労継続支援Ｂ型</t>
  </si>
  <si>
    <t>46</t>
  </si>
  <si>
    <t>就労定着支援</t>
    <rPh sb="0" eb="2">
      <t>シュウロウ</t>
    </rPh>
    <rPh sb="2" eb="4">
      <t>テイチャク</t>
    </rPh>
    <rPh sb="4" eb="6">
      <t>シエン</t>
    </rPh>
    <phoneticPr fontId="62"/>
  </si>
  <si>
    <t>47</t>
  </si>
  <si>
    <t>自立生活援助</t>
    <rPh sb="0" eb="2">
      <t>ジリツ</t>
    </rPh>
    <rPh sb="2" eb="4">
      <t>セイカツ</t>
    </rPh>
    <rPh sb="4" eb="6">
      <t>エンジョ</t>
    </rPh>
    <phoneticPr fontId="62"/>
  </si>
  <si>
    <t>35</t>
  </si>
  <si>
    <t>共同生活援助（介護サービス包括型）</t>
    <rPh sb="0" eb="2">
      <t>キョウドウ</t>
    </rPh>
    <rPh sb="2" eb="4">
      <t>セイカツ</t>
    </rPh>
    <rPh sb="4" eb="6">
      <t>エンジョ</t>
    </rPh>
    <rPh sb="7" eb="9">
      <t>カイゴ</t>
    </rPh>
    <rPh sb="13" eb="15">
      <t>ホウカツ</t>
    </rPh>
    <rPh sb="15" eb="16">
      <t>ガタ</t>
    </rPh>
    <phoneticPr fontId="62"/>
  </si>
  <si>
    <t>33</t>
  </si>
  <si>
    <t>共同生活援助（日中サービス支援型）</t>
    <rPh sb="0" eb="2">
      <t>キョウドウ</t>
    </rPh>
    <rPh sb="2" eb="4">
      <t>セイカツ</t>
    </rPh>
    <rPh sb="4" eb="6">
      <t>エンジョ</t>
    </rPh>
    <rPh sb="7" eb="9">
      <t>ニッチュウ</t>
    </rPh>
    <rPh sb="13" eb="15">
      <t>シエン</t>
    </rPh>
    <phoneticPr fontId="62"/>
  </si>
  <si>
    <t>共同生活援助（外部サービス利用型）</t>
    <rPh sb="0" eb="2">
      <t>キョウドウ</t>
    </rPh>
    <rPh sb="2" eb="4">
      <t>セイカツ</t>
    </rPh>
    <rPh sb="4" eb="6">
      <t>エンジョ</t>
    </rPh>
    <phoneticPr fontId="62"/>
  </si>
  <si>
    <t>児童発達支援</t>
  </si>
  <si>
    <t>61</t>
  </si>
  <si>
    <t>医療型児童発達支援</t>
  </si>
  <si>
    <t>62</t>
  </si>
  <si>
    <t>放課後等デイサービス</t>
  </si>
  <si>
    <t>63</t>
  </si>
  <si>
    <t>居宅訪問型児童発達支援</t>
  </si>
  <si>
    <t>65</t>
  </si>
  <si>
    <t>保育所等訪問支援</t>
  </si>
  <si>
    <t>64</t>
  </si>
  <si>
    <t>福祉型障害児入所施設</t>
  </si>
  <si>
    <t>71</t>
  </si>
  <si>
    <t>医療型障害児入所施設</t>
  </si>
  <si>
    <t>72</t>
  </si>
  <si>
    <t>障害者支援施設：生活介護</t>
    <rPh sb="0" eb="3">
      <t>ショウガイシャ</t>
    </rPh>
    <rPh sb="3" eb="5">
      <t>シエン</t>
    </rPh>
    <rPh sb="5" eb="7">
      <t>シセツ</t>
    </rPh>
    <rPh sb="8" eb="10">
      <t>セイカツ</t>
    </rPh>
    <phoneticPr fontId="3"/>
  </si>
  <si>
    <t>障害者支援施設：自立訓練（機能訓練）</t>
  </si>
  <si>
    <t>障害者支援施設：自立訓練（生活訓練）</t>
  </si>
  <si>
    <t>障害者支援施設：就労移行支援</t>
  </si>
  <si>
    <t>障害者支援施設：就労継続支援Ａ型</t>
  </si>
  <si>
    <t>障害者支援施設：就労継続支援Ｂ型</t>
  </si>
  <si>
    <t>計画相談支援</t>
    <rPh sb="0" eb="2">
      <t>ケイカク</t>
    </rPh>
    <rPh sb="2" eb="4">
      <t>ソウダン</t>
    </rPh>
    <rPh sb="4" eb="6">
      <t>シエン</t>
    </rPh>
    <phoneticPr fontId="9"/>
  </si>
  <si>
    <t>52</t>
  </si>
  <si>
    <t>地域相談支援（地域移行支援）</t>
    <rPh sb="0" eb="2">
      <t>チイキ</t>
    </rPh>
    <rPh sb="2" eb="4">
      <t>ソウダン</t>
    </rPh>
    <rPh sb="4" eb="6">
      <t>シエン</t>
    </rPh>
    <rPh sb="7" eb="9">
      <t>チイキ</t>
    </rPh>
    <rPh sb="9" eb="11">
      <t>イコウ</t>
    </rPh>
    <rPh sb="11" eb="13">
      <t>シエン</t>
    </rPh>
    <phoneticPr fontId="9"/>
  </si>
  <si>
    <t>53</t>
  </si>
  <si>
    <t>地域相談支援（地域定着支援）</t>
    <rPh sb="0" eb="2">
      <t>チイキ</t>
    </rPh>
    <rPh sb="2" eb="4">
      <t>ソウダン</t>
    </rPh>
    <rPh sb="4" eb="6">
      <t>シエン</t>
    </rPh>
    <rPh sb="7" eb="9">
      <t>チイキ</t>
    </rPh>
    <rPh sb="9" eb="11">
      <t>テイチャク</t>
    </rPh>
    <rPh sb="11" eb="13">
      <t>シエン</t>
    </rPh>
    <phoneticPr fontId="9"/>
  </si>
  <si>
    <t>54</t>
  </si>
  <si>
    <t>障害児相談支援</t>
    <rPh sb="0" eb="2">
      <t>ショウガイ</t>
    </rPh>
    <rPh sb="2" eb="3">
      <t>ジ</t>
    </rPh>
    <rPh sb="3" eb="5">
      <t>ソウダン</t>
    </rPh>
    <rPh sb="5" eb="7">
      <t>シエン</t>
    </rPh>
    <phoneticPr fontId="9"/>
  </si>
  <si>
    <t>55</t>
  </si>
  <si>
    <t>加算対象外</t>
    <rPh sb="0" eb="2">
      <t>カサン</t>
    </rPh>
    <rPh sb="2" eb="4">
      <t>タイショウ</t>
    </rPh>
    <rPh sb="4" eb="5">
      <t>ガイ</t>
    </rPh>
    <phoneticPr fontId="13"/>
  </si>
  <si>
    <t>対象</t>
    <rPh sb="0" eb="2">
      <t>タイショウ</t>
    </rPh>
    <phoneticPr fontId="14"/>
  </si>
  <si>
    <t>短期入所</t>
    <rPh sb="0" eb="2">
      <t>タンキ</t>
    </rPh>
    <rPh sb="2" eb="4">
      <t>ニュウショ</t>
    </rPh>
    <phoneticPr fontId="107"/>
  </si>
  <si>
    <t>宿泊型自立訓練</t>
    <phoneticPr fontId="13"/>
  </si>
  <si>
    <t>就労選択支援</t>
    <rPh sb="2" eb="4">
      <t>センタク</t>
    </rPh>
    <rPh sb="4" eb="6">
      <t>シエン</t>
    </rPh>
    <phoneticPr fontId="111"/>
  </si>
  <si>
    <t>就労移行支援（養成施設）</t>
    <rPh sb="7" eb="9">
      <t>ヨウセイ</t>
    </rPh>
    <rPh sb="9" eb="11">
      <t>シセツ</t>
    </rPh>
    <phoneticPr fontId="13"/>
  </si>
  <si>
    <t>就労定着支援</t>
    <rPh sb="0" eb="2">
      <t>シュウロウ</t>
    </rPh>
    <rPh sb="2" eb="4">
      <t>テイチャク</t>
    </rPh>
    <rPh sb="4" eb="6">
      <t>シエン</t>
    </rPh>
    <phoneticPr fontId="104"/>
  </si>
  <si>
    <t>自立生活援助</t>
    <rPh sb="0" eb="2">
      <t>ジリツ</t>
    </rPh>
    <rPh sb="2" eb="4">
      <t>セイカツ</t>
    </rPh>
    <rPh sb="4" eb="6">
      <t>エンジョ</t>
    </rPh>
    <phoneticPr fontId="104"/>
  </si>
  <si>
    <t>共同生活援助（介護サービス包括型）</t>
    <rPh sb="0" eb="2">
      <t>キョウドウ</t>
    </rPh>
    <rPh sb="2" eb="4">
      <t>セイカツ</t>
    </rPh>
    <rPh sb="4" eb="6">
      <t>エンジョ</t>
    </rPh>
    <rPh sb="7" eb="9">
      <t>カイゴ</t>
    </rPh>
    <rPh sb="13" eb="15">
      <t>ホウカツ</t>
    </rPh>
    <rPh sb="15" eb="16">
      <t>ガタ</t>
    </rPh>
    <phoneticPr fontId="104"/>
  </si>
  <si>
    <t>共同生活援助（日中サービス支援型）</t>
    <rPh sb="0" eb="2">
      <t>キョウドウ</t>
    </rPh>
    <rPh sb="2" eb="4">
      <t>セイカツ</t>
    </rPh>
    <rPh sb="4" eb="6">
      <t>エンジョ</t>
    </rPh>
    <rPh sb="7" eb="9">
      <t>ニッチュウ</t>
    </rPh>
    <rPh sb="13" eb="15">
      <t>シエン</t>
    </rPh>
    <phoneticPr fontId="104"/>
  </si>
  <si>
    <t>共同生活援助（外部サービス利用型）</t>
    <rPh sb="0" eb="2">
      <t>キョウドウ</t>
    </rPh>
    <rPh sb="2" eb="4">
      <t>セイカツ</t>
    </rPh>
    <rPh sb="4" eb="6">
      <t>エンジョ</t>
    </rPh>
    <phoneticPr fontId="104"/>
  </si>
  <si>
    <t>障害者支援施設：生活介護</t>
    <rPh sb="0" eb="3">
      <t>ショウガイシャ</t>
    </rPh>
    <rPh sb="3" eb="5">
      <t>シエン</t>
    </rPh>
    <rPh sb="5" eb="7">
      <t>シセツ</t>
    </rPh>
    <rPh sb="8" eb="10">
      <t>セイカツ</t>
    </rPh>
    <phoneticPr fontId="1"/>
  </si>
  <si>
    <t>表８　キャリアパス要件Ⅴ（配置等要件）</t>
    <rPh sb="0" eb="1">
      <t>ヒョウ</t>
    </rPh>
    <rPh sb="9" eb="11">
      <t>ヨウケン</t>
    </rPh>
    <rPh sb="13" eb="15">
      <t>ハイチ</t>
    </rPh>
    <rPh sb="15" eb="16">
      <t>トウ</t>
    </rPh>
    <rPh sb="16" eb="18">
      <t>ヨウケン</t>
    </rPh>
    <phoneticPr fontId="13"/>
  </si>
  <si>
    <t>配置等要件</t>
    <rPh sb="0" eb="2">
      <t>ハイチ</t>
    </rPh>
    <rPh sb="2" eb="3">
      <t>トウ</t>
    </rPh>
    <rPh sb="3" eb="5">
      <t>ヨウケン</t>
    </rPh>
    <phoneticPr fontId="13"/>
  </si>
  <si>
    <t>特定事業所加算</t>
  </si>
  <si>
    <t>特定事業所加算</t>
    <rPh sb="0" eb="2">
      <t>トクテイ</t>
    </rPh>
    <rPh sb="2" eb="5">
      <t>ジギョウショ</t>
    </rPh>
    <rPh sb="5" eb="7">
      <t>カサン</t>
    </rPh>
    <phoneticPr fontId="1"/>
  </si>
  <si>
    <t>対象加算なし</t>
    <rPh sb="0" eb="2">
      <t>タイショウ</t>
    </rPh>
    <rPh sb="2" eb="4">
      <t>カサン</t>
    </rPh>
    <phoneticPr fontId="36"/>
  </si>
  <si>
    <t>福祉専門職員配置等加算</t>
    <rPh sb="0" eb="2">
      <t>フクシ</t>
    </rPh>
    <rPh sb="2" eb="4">
      <t>センモン</t>
    </rPh>
    <rPh sb="4" eb="6">
      <t>ショクイン</t>
    </rPh>
    <rPh sb="6" eb="8">
      <t>ハイチ</t>
    </rPh>
    <rPh sb="8" eb="9">
      <t>トウ</t>
    </rPh>
    <rPh sb="9" eb="11">
      <t>カサン</t>
    </rPh>
    <phoneticPr fontId="1"/>
  </si>
  <si>
    <t>宿泊型自立訓練</t>
    <rPh sb="0" eb="3">
      <t>シュクハクガタ</t>
    </rPh>
    <rPh sb="3" eb="5">
      <t>ジリツ</t>
    </rPh>
    <rPh sb="5" eb="7">
      <t>クンレン</t>
    </rPh>
    <phoneticPr fontId="13"/>
  </si>
  <si>
    <t>居宅介護R8</t>
    <phoneticPr fontId="13"/>
  </si>
  <si>
    <t>重度訪問介護R8</t>
    <phoneticPr fontId="13"/>
  </si>
  <si>
    <t>同行援護R8</t>
    <phoneticPr fontId="13"/>
  </si>
  <si>
    <t>行動援護R8</t>
    <phoneticPr fontId="13"/>
  </si>
  <si>
    <t>重度障害者等包括支援R8</t>
    <phoneticPr fontId="13"/>
  </si>
  <si>
    <t>生活介護R8</t>
    <phoneticPr fontId="13"/>
  </si>
  <si>
    <t>施設入所支援R8</t>
    <phoneticPr fontId="13"/>
  </si>
  <si>
    <t>短期入所R8</t>
    <rPh sb="0" eb="2">
      <t>タンキ</t>
    </rPh>
    <rPh sb="2" eb="4">
      <t>ニュウショ</t>
    </rPh>
    <phoneticPr fontId="63"/>
  </si>
  <si>
    <t>療養介護R8</t>
    <phoneticPr fontId="13"/>
  </si>
  <si>
    <t>宿泊型自立訓練R8</t>
    <rPh sb="0" eb="3">
      <t>シュクハクガタ</t>
    </rPh>
    <rPh sb="3" eb="5">
      <t>ジリツ</t>
    </rPh>
    <rPh sb="5" eb="7">
      <t>クンレン</t>
    </rPh>
    <phoneticPr fontId="9"/>
  </si>
  <si>
    <t>就労選択支援R8</t>
    <rPh sb="2" eb="4">
      <t>センタク</t>
    </rPh>
    <rPh sb="4" eb="6">
      <t>シエン</t>
    </rPh>
    <phoneticPr fontId="64"/>
  </si>
  <si>
    <t>就労移行支援R8</t>
    <phoneticPr fontId="13"/>
  </si>
  <si>
    <t>就労継続支援Ａ型R8</t>
    <phoneticPr fontId="13"/>
  </si>
  <si>
    <t>就労継続支援Ｂ型R8</t>
    <phoneticPr fontId="13"/>
  </si>
  <si>
    <t>就労定着支援R8</t>
    <rPh sb="0" eb="2">
      <t>シュウロウ</t>
    </rPh>
    <rPh sb="2" eb="4">
      <t>テイチャク</t>
    </rPh>
    <rPh sb="4" eb="6">
      <t>シエン</t>
    </rPh>
    <phoneticPr fontId="62"/>
  </si>
  <si>
    <t>自立生活援助R8</t>
    <rPh sb="0" eb="2">
      <t>ジリツ</t>
    </rPh>
    <rPh sb="2" eb="4">
      <t>セイカツ</t>
    </rPh>
    <rPh sb="4" eb="6">
      <t>エンジョ</t>
    </rPh>
    <phoneticPr fontId="62"/>
  </si>
  <si>
    <t>児童発達支援R8</t>
    <phoneticPr fontId="13"/>
  </si>
  <si>
    <t>医療型児童発達支援R8</t>
    <phoneticPr fontId="13"/>
  </si>
  <si>
    <t>放課後等デイサービスR8</t>
    <phoneticPr fontId="13"/>
  </si>
  <si>
    <t>居宅訪問型児童発達支援R8</t>
    <phoneticPr fontId="13"/>
  </si>
  <si>
    <t>保育所等訪問支援R8</t>
    <phoneticPr fontId="13"/>
  </si>
  <si>
    <t>福祉型障害児入所施設R8</t>
    <phoneticPr fontId="13"/>
  </si>
  <si>
    <t>医療型障害児入所施設R8</t>
    <phoneticPr fontId="13"/>
  </si>
  <si>
    <t>計画相談支援R8</t>
    <rPh sb="0" eb="2">
      <t>ケイカク</t>
    </rPh>
    <rPh sb="2" eb="4">
      <t>ソウダン</t>
    </rPh>
    <rPh sb="4" eb="6">
      <t>シエン</t>
    </rPh>
    <phoneticPr fontId="9"/>
  </si>
  <si>
    <t>障害児相談支援R8</t>
    <rPh sb="0" eb="2">
      <t>ショウガイ</t>
    </rPh>
    <rPh sb="2" eb="3">
      <t>ジ</t>
    </rPh>
    <rPh sb="3" eb="5">
      <t>ソウダン</t>
    </rPh>
    <rPh sb="5" eb="7">
      <t>シエン</t>
    </rPh>
    <phoneticPr fontId="9"/>
  </si>
  <si>
    <t>「生産性向上（業務改善及び働く環境改善）のための取組」のうち５以上の取組（うち⑱及び㉑は必須）を実施
かつ
処遇改善加算Ⅱロの加算額の２分の１以上を基本給等の改善に充てている</t>
    <phoneticPr fontId="13"/>
  </si>
  <si>
    <t>社会福祉連携推進法人に所属
かつ
処遇改善加算Ⅱロの加算額の２分の１以上を基本給等の改善に充てている</t>
    <phoneticPr fontId="13"/>
  </si>
  <si>
    <t>「生産性向上（業務改善及び働く環境改善）のための取組」のうち５以上の取組（うち⑱及び㉑は必須）を実施</t>
    <phoneticPr fontId="13"/>
  </si>
  <si>
    <t>○○サービスジギョウショ</t>
    <phoneticPr fontId="13"/>
  </si>
  <si>
    <t>○○サービス事業所</t>
    <rPh sb="6" eb="9">
      <t>ジギョウショ</t>
    </rPh>
    <phoneticPr fontId="13"/>
  </si>
  <si>
    <t>１２３４</t>
    <phoneticPr fontId="13"/>
  </si>
  <si>
    <t>東京都千代田区霞が関1-2-2</t>
    <phoneticPr fontId="13"/>
  </si>
  <si>
    <t>1233445566778</t>
    <phoneticPr fontId="13"/>
  </si>
  <si>
    <t>コウロウ　ハナコ</t>
    <phoneticPr fontId="13"/>
  </si>
  <si>
    <t>厚労　花子</t>
    <rPh sb="0" eb="2">
      <t>コウロウ</t>
    </rPh>
    <rPh sb="3" eb="5">
      <t>ハナコ</t>
    </rPh>
    <phoneticPr fontId="13"/>
  </si>
  <si>
    <t>03-3571-XXXX</t>
  </si>
  <si>
    <t>aaa@aaa.aa.jp</t>
  </si>
  <si>
    <t>1234567899</t>
    <phoneticPr fontId="13"/>
  </si>
  <si>
    <t>1234567900</t>
  </si>
  <si>
    <t>1234567901</t>
  </si>
  <si>
    <t>1234567902</t>
  </si>
  <si>
    <t>1234567903</t>
  </si>
  <si>
    <t>1234567904</t>
  </si>
  <si>
    <t>障害福祉事業所名称０１</t>
    <phoneticPr fontId="13"/>
  </si>
  <si>
    <t>障害福祉事業所名称０２</t>
  </si>
  <si>
    <t>障害福祉事業所名称０３</t>
  </si>
  <si>
    <t>障害福祉事業所名称０４</t>
  </si>
  <si>
    <t>障害福祉事業所名称０５</t>
  </si>
  <si>
    <t>障害福祉事業所名称０６</t>
  </si>
  <si>
    <t>障害福祉事業所名称０７</t>
  </si>
  <si>
    <t>1234567905</t>
  </si>
  <si>
    <t>処遇改善加算Ⅱイ</t>
  </si>
  <si>
    <t>処遇改善加算Ⅰイ</t>
  </si>
  <si>
    <t>居宅介護Ⅴ</t>
    <phoneticPr fontId="13"/>
  </si>
  <si>
    <t>重度訪問介護V</t>
    <phoneticPr fontId="13"/>
  </si>
  <si>
    <t>同行援護V</t>
    <phoneticPr fontId="13"/>
  </si>
  <si>
    <t>行動援護V</t>
    <phoneticPr fontId="13"/>
  </si>
  <si>
    <t>重度障害者等包括支援V</t>
    <phoneticPr fontId="13"/>
  </si>
  <si>
    <t>生活介護V</t>
    <phoneticPr fontId="13"/>
  </si>
  <si>
    <t>施設入所支援V</t>
    <phoneticPr fontId="13"/>
  </si>
  <si>
    <t>短期入所V</t>
    <rPh sb="0" eb="2">
      <t>タンキ</t>
    </rPh>
    <rPh sb="2" eb="4">
      <t>ニュウショ</t>
    </rPh>
    <phoneticPr fontId="107"/>
  </si>
  <si>
    <t>療養介護V</t>
    <phoneticPr fontId="13"/>
  </si>
  <si>
    <t>宿泊型自立訓練V</t>
    <rPh sb="0" eb="3">
      <t>シュクハクガタ</t>
    </rPh>
    <rPh sb="3" eb="5">
      <t>ジリツ</t>
    </rPh>
    <rPh sb="5" eb="7">
      <t>クンレン</t>
    </rPh>
    <phoneticPr fontId="13"/>
  </si>
  <si>
    <t>就労選択支援V</t>
    <rPh sb="2" eb="4">
      <t>センタク</t>
    </rPh>
    <rPh sb="4" eb="6">
      <t>シエン</t>
    </rPh>
    <phoneticPr fontId="111"/>
  </si>
  <si>
    <t>就労移行支援V</t>
    <phoneticPr fontId="13"/>
  </si>
  <si>
    <t>就労継続支援Ａ型V</t>
    <phoneticPr fontId="13"/>
  </si>
  <si>
    <t>就労継続支援Ｂ型V</t>
    <phoneticPr fontId="13"/>
  </si>
  <si>
    <t>就労定着支援V</t>
    <rPh sb="0" eb="2">
      <t>シュウロウ</t>
    </rPh>
    <rPh sb="2" eb="4">
      <t>テイチャク</t>
    </rPh>
    <rPh sb="4" eb="6">
      <t>シエン</t>
    </rPh>
    <phoneticPr fontId="104"/>
  </si>
  <si>
    <t>自立生活援助V</t>
    <rPh sb="0" eb="2">
      <t>ジリツ</t>
    </rPh>
    <rPh sb="2" eb="4">
      <t>セイカツ</t>
    </rPh>
    <rPh sb="4" eb="6">
      <t>エンジョ</t>
    </rPh>
    <phoneticPr fontId="104"/>
  </si>
  <si>
    <t>児童発達支援V</t>
    <phoneticPr fontId="13"/>
  </si>
  <si>
    <t>医療型児童発達支援V</t>
    <phoneticPr fontId="13"/>
  </si>
  <si>
    <t>放課後等デイサービスV</t>
    <phoneticPr fontId="13"/>
  </si>
  <si>
    <t>居宅訪問型児童発達支援V</t>
    <phoneticPr fontId="13"/>
  </si>
  <si>
    <t>保育所等訪問支援V</t>
    <phoneticPr fontId="13"/>
  </si>
  <si>
    <t>福祉型障害児入所施設V</t>
    <phoneticPr fontId="13"/>
  </si>
  <si>
    <t>医療型障害児入所施設V</t>
    <phoneticPr fontId="13"/>
  </si>
  <si>
    <t>自立訓練（生活訓練）</t>
    <phoneticPr fontId="13"/>
  </si>
  <si>
    <t>自立訓練_生活訓練_R8</t>
    <phoneticPr fontId="13"/>
  </si>
  <si>
    <t>自立訓練_機能訓練_V</t>
    <phoneticPr fontId="13"/>
  </si>
  <si>
    <t>自立訓練_生活訓練_V</t>
    <phoneticPr fontId="13"/>
  </si>
  <si>
    <t>就労移行支援_養成施設_V</t>
    <rPh sb="7" eb="9">
      <t>ヨウセイ</t>
    </rPh>
    <rPh sb="9" eb="11">
      <t>シセツ</t>
    </rPh>
    <phoneticPr fontId="13"/>
  </si>
  <si>
    <t>共同生活援助_介護サービス包括型_V</t>
    <rPh sb="0" eb="2">
      <t>キョウドウ</t>
    </rPh>
    <rPh sb="2" eb="4">
      <t>セイカツ</t>
    </rPh>
    <rPh sb="4" eb="6">
      <t>エンジョ</t>
    </rPh>
    <rPh sb="7" eb="9">
      <t>カイゴ</t>
    </rPh>
    <rPh sb="13" eb="15">
      <t>ホウカツ</t>
    </rPh>
    <rPh sb="15" eb="16">
      <t>ガタ</t>
    </rPh>
    <phoneticPr fontId="104"/>
  </si>
  <si>
    <t>共同生活援助_日中サービス支援型_V</t>
    <rPh sb="0" eb="2">
      <t>キョウドウ</t>
    </rPh>
    <rPh sb="2" eb="4">
      <t>セイカツ</t>
    </rPh>
    <rPh sb="4" eb="6">
      <t>エンジョ</t>
    </rPh>
    <rPh sb="7" eb="9">
      <t>ニッチュウ</t>
    </rPh>
    <rPh sb="13" eb="15">
      <t>シエン</t>
    </rPh>
    <phoneticPr fontId="104"/>
  </si>
  <si>
    <t>共同生活援助_外部サービス利用型_V</t>
    <rPh sb="0" eb="2">
      <t>キョウドウ</t>
    </rPh>
    <rPh sb="2" eb="4">
      <t>セイカツ</t>
    </rPh>
    <rPh sb="4" eb="6">
      <t>エンジョ</t>
    </rPh>
    <phoneticPr fontId="104"/>
  </si>
  <si>
    <t>地域相談支援_地域定着支援_R8</t>
    <rPh sb="0" eb="2">
      <t>チイキ</t>
    </rPh>
    <rPh sb="2" eb="4">
      <t>ソウダン</t>
    </rPh>
    <rPh sb="4" eb="6">
      <t>シエン</t>
    </rPh>
    <rPh sb="7" eb="9">
      <t>チイキ</t>
    </rPh>
    <rPh sb="9" eb="11">
      <t>テイチャク</t>
    </rPh>
    <rPh sb="11" eb="13">
      <t>シエン</t>
    </rPh>
    <phoneticPr fontId="9"/>
  </si>
  <si>
    <t>地域相談支援_地域移行支援_R8</t>
    <rPh sb="0" eb="2">
      <t>チイキ</t>
    </rPh>
    <rPh sb="2" eb="4">
      <t>ソウダン</t>
    </rPh>
    <rPh sb="4" eb="6">
      <t>シエン</t>
    </rPh>
    <rPh sb="7" eb="9">
      <t>チイキ</t>
    </rPh>
    <rPh sb="9" eb="11">
      <t>イコウ</t>
    </rPh>
    <rPh sb="11" eb="13">
      <t>シエン</t>
    </rPh>
    <phoneticPr fontId="9"/>
  </si>
  <si>
    <t>共同生活援助_外部サービス利用型_R8</t>
    <rPh sb="0" eb="2">
      <t>キョウドウ</t>
    </rPh>
    <rPh sb="2" eb="4">
      <t>セイカツ</t>
    </rPh>
    <rPh sb="4" eb="6">
      <t>エンジョ</t>
    </rPh>
    <phoneticPr fontId="62"/>
  </si>
  <si>
    <t>共同生活援助_日中サービス支援型_R8</t>
    <rPh sb="0" eb="2">
      <t>キョウドウ</t>
    </rPh>
    <rPh sb="2" eb="4">
      <t>セイカツ</t>
    </rPh>
    <rPh sb="4" eb="6">
      <t>エンジョ</t>
    </rPh>
    <rPh sb="7" eb="9">
      <t>ニッチュウ</t>
    </rPh>
    <rPh sb="13" eb="15">
      <t>シエン</t>
    </rPh>
    <phoneticPr fontId="62"/>
  </si>
  <si>
    <t>共同生活援助_介護サービス包括型_R8</t>
    <rPh sb="0" eb="2">
      <t>キョウドウ</t>
    </rPh>
    <rPh sb="2" eb="4">
      <t>セイカツ</t>
    </rPh>
    <rPh sb="4" eb="6">
      <t>エンジョ</t>
    </rPh>
    <rPh sb="7" eb="9">
      <t>カイゴ</t>
    </rPh>
    <rPh sb="13" eb="15">
      <t>ホウカツ</t>
    </rPh>
    <rPh sb="15" eb="16">
      <t>ガタ</t>
    </rPh>
    <phoneticPr fontId="62"/>
  </si>
  <si>
    <t>就労移行支援_養成施設_R8</t>
    <rPh sb="7" eb="9">
      <t>ヨウセイ</t>
    </rPh>
    <rPh sb="9" eb="11">
      <t>シセツ</t>
    </rPh>
    <phoneticPr fontId="9"/>
  </si>
  <si>
    <t>自立訓練_機能訓練_R8</t>
    <phoneticPr fontId="13"/>
  </si>
  <si>
    <t>（参考）令和7年度</t>
    <rPh sb="1" eb="3">
      <t>サンコウ</t>
    </rPh>
    <rPh sb="4" eb="6">
      <t>レイワ</t>
    </rPh>
    <rPh sb="7" eb="9">
      <t>ネンド</t>
    </rPh>
    <phoneticPr fontId="1"/>
  </si>
  <si>
    <t>算定した処遇改善加算の区分
※令和8年3月時点</t>
    <rPh sb="0" eb="2">
      <t>サンテイ</t>
    </rPh>
    <rPh sb="4" eb="6">
      <t>ショグウ</t>
    </rPh>
    <rPh sb="6" eb="10">
      <t>カイゼンカサン</t>
    </rPh>
    <rPh sb="11" eb="13">
      <t>クブン</t>
    </rPh>
    <rPh sb="15" eb="17">
      <t>レイワ</t>
    </rPh>
    <rPh sb="18" eb="19">
      <t>ネン</t>
    </rPh>
    <rPh sb="20" eb="21">
      <t>ガツ</t>
    </rPh>
    <rPh sb="21" eb="23">
      <t>ジテン</t>
    </rPh>
    <phoneticPr fontId="1"/>
  </si>
  <si>
    <t>加算率</t>
    <rPh sb="0" eb="3">
      <t>カサンリツ</t>
    </rPh>
    <phoneticPr fontId="1"/>
  </si>
  <si>
    <t>令和8年度に増加する加算額の見込額
（令和7年度の加算率と比較）</t>
    <rPh sb="0" eb="2">
      <t>レイワ</t>
    </rPh>
    <rPh sb="3" eb="5">
      <t>ネンド</t>
    </rPh>
    <rPh sb="6" eb="8">
      <t>ゾウカ</t>
    </rPh>
    <rPh sb="10" eb="13">
      <t>カサンガク</t>
    </rPh>
    <rPh sb="14" eb="17">
      <t>ミコミガク</t>
    </rPh>
    <rPh sb="19" eb="21">
      <t>レイワ</t>
    </rPh>
    <rPh sb="22" eb="24">
      <t>ネンド</t>
    </rPh>
    <rPh sb="25" eb="28">
      <t>カサンリツ</t>
    </rPh>
    <rPh sb="29" eb="31">
      <t>ヒカク</t>
    </rPh>
    <phoneticPr fontId="1"/>
  </si>
  <si>
    <t>令和8年度に増加する加算額の見込額
（令和7年度の加算率と比較）</t>
    <phoneticPr fontId="1"/>
  </si>
  <si>
    <t>円</t>
    <rPh sb="0" eb="1">
      <t>エン</t>
    </rPh>
    <phoneticPr fontId="1"/>
  </si>
  <si>
    <t>（参考）令和7年度</t>
    <phoneticPr fontId="13"/>
  </si>
  <si>
    <t>令和8年度に増加する加算額の見込額
（令和7年度の加算率と比較）</t>
    <phoneticPr fontId="13"/>
  </si>
  <si>
    <t>うち、
令和7年度と比較して令和8年度に増加する加算の見込額</t>
    <phoneticPr fontId="13"/>
  </si>
  <si>
    <t>「生産性向上（業務改善及び働く環境改善）のための取組」のうち５以上の取組（うち⑱及び㉑は必須）を実施することを誓約
かつ
処遇改善加算Ⅱロの加算額の２分の１以上を基本給等の改善に充てている</t>
    <rPh sb="55" eb="57">
      <t>セイヤク</t>
    </rPh>
    <phoneticPr fontId="13"/>
  </si>
  <si>
    <t>「生産性向上（業務改善及び働く環境改善）のための取組」のうち５以上の取組（うち⑱及び㉑は必須）を実施することを誓約</t>
    <rPh sb="55" eb="57">
      <t>セイヤク</t>
    </rPh>
    <phoneticPr fontId="13"/>
  </si>
  <si>
    <t>算定した処遇改善加算の区分
※令和8年3月時点
の色づけ✓</t>
    <rPh sb="25" eb="26">
      <t>イロ</t>
    </rPh>
    <phoneticPr fontId="13"/>
  </si>
  <si>
    <t>月額賃金要件を満たす</t>
    <rPh sb="0" eb="2">
      <t>ゲツガク</t>
    </rPh>
    <rPh sb="2" eb="4">
      <t>チンギン</t>
    </rPh>
    <rPh sb="4" eb="6">
      <t>ヨウケン</t>
    </rPh>
    <rPh sb="7" eb="8">
      <t>ミ</t>
    </rPh>
    <phoneticPr fontId="13"/>
  </si>
  <si>
    <t>本様式への虚偽記載のほか、処遇改善加算の請求に関して不正があった場合及び指定権者からの求めに応じて書類の提出を行うことができなかった場合は、障害福祉サービス等報酬の返還となる。また、指定取消となる場合がある。</t>
    <rPh sb="1" eb="3">
      <t>ヨウシキ</t>
    </rPh>
    <rPh sb="34" eb="35">
      <t>オヨ</t>
    </rPh>
    <rPh sb="70" eb="72">
      <t>ショウガイ</t>
    </rPh>
    <rPh sb="72" eb="74">
      <t>フクシ</t>
    </rPh>
    <rPh sb="78" eb="79">
      <t>トウ</t>
    </rPh>
    <phoneticPr fontId="13"/>
  </si>
  <si>
    <t>【記入上の注意】
 ・ 改善後の賃金が年額460万円以上であることは、処遇改善加算による賃金改善額を含む金額で判断すること。</t>
    <phoneticPr fontId="13"/>
  </si>
  <si>
    <t>処遇改善加算Ⅰイ・Ⅰロ・Ⅱイ・Ⅱロの算定を届け出た事業所数</t>
    <phoneticPr fontId="13"/>
  </si>
  <si>
    <t>改善後の賃金要件（年額460万円以上）を満たす・
職場環境等要件全体で14以上の取組を実施している／誓約する事業所数</t>
    <rPh sb="54" eb="57">
      <t>ジギョウショ</t>
    </rPh>
    <rPh sb="57" eb="58">
      <t>スウ</t>
    </rPh>
    <phoneticPr fontId="13"/>
  </si>
  <si>
    <t>処遇改善加算の申請時点において、当該要件を満たしていない場合、令和9年3月末までに改善後の賃金要件又は、職場環境等要件について全体から14以上の取組を行うことを誓約します。</t>
    <phoneticPr fontId="13"/>
  </si>
  <si>
    <t>・届出に係る計画の期間中に実施する事項について、チェック（✔）する又は令和８年度中に要件整備を行う誓約をすること（「誓約」）。 
・「入職促進に向けた取組」、「資質の向上やキャリアアップに向けた支援」、「両立支援・多様な働き方の推進」、「腰痛を
　含む心身の健康管理」及び「やりがい・働きがいの醸成」の区分ごとに１以上を実施するとともに全体から８以上の取組を実施すること。
・「生産性向上のための取組」のうち２以上の取組を実施すること。１法人あたり１の施設又は事業所のみを運営するような法人等の小規模事業者であり、㉔の取組を実施している場合は、㉔の２を選択すること。</t>
    <rPh sb="33" eb="34">
      <t>マタ</t>
    </rPh>
    <rPh sb="168" eb="170">
      <t>ゼンタイ</t>
    </rPh>
    <rPh sb="173" eb="175">
      <t>イジョウ</t>
    </rPh>
    <rPh sb="176" eb="178">
      <t>トリクミ</t>
    </rPh>
    <rPh sb="179" eb="181">
      <t>ジッシ</t>
    </rPh>
    <rPh sb="268" eb="270">
      <t>バアイ</t>
    </rPh>
    <rPh sb="276" eb="278">
      <t>センタク</t>
    </rPh>
    <phoneticPr fontId="13"/>
  </si>
  <si>
    <t>令和8年度特例要件の加算Ⅱロ相当該当✓</t>
    <rPh sb="0" eb="2">
      <t>レイワ</t>
    </rPh>
    <rPh sb="3" eb="5">
      <t>ネンド</t>
    </rPh>
    <rPh sb="5" eb="7">
      <t>トクレイ</t>
    </rPh>
    <rPh sb="7" eb="9">
      <t>ヨウケン</t>
    </rPh>
    <rPh sb="10" eb="12">
      <t>カサン</t>
    </rPh>
    <rPh sb="14" eb="16">
      <t>ソウトウ</t>
    </rPh>
    <rPh sb="16" eb="18">
      <t>ガイトウ</t>
    </rPh>
    <phoneticPr fontId="13"/>
  </si>
  <si>
    <t>令和8年度特例要件の加算Ⅱロ相当額算出</t>
    <rPh sb="16" eb="17">
      <t>ガク</t>
    </rPh>
    <rPh sb="17" eb="19">
      <t>サンシュツ</t>
    </rPh>
    <phoneticPr fontId="13"/>
  </si>
  <si>
    <t>（７-１）令和８年度特例要件</t>
    <rPh sb="5" eb="7">
      <t>レイワ</t>
    </rPh>
    <rPh sb="8" eb="10">
      <t>ネンド</t>
    </rPh>
    <rPh sb="10" eb="12">
      <t>トクレイ</t>
    </rPh>
    <rPh sb="12" eb="14">
      <t>ヨウケン</t>
    </rPh>
    <phoneticPr fontId="13"/>
  </si>
  <si>
    <t>（７-２）処遇改善加算Ⅱロの加算額の1/2以上を基本給等の改善に充てることについて</t>
    <rPh sb="5" eb="7">
      <t>ショグウ</t>
    </rPh>
    <rPh sb="7" eb="11">
      <t>カイゼンカサン</t>
    </rPh>
    <rPh sb="14" eb="17">
      <t>カサンガク</t>
    </rPh>
    <rPh sb="21" eb="23">
      <t>イジョウ</t>
    </rPh>
    <rPh sb="24" eb="27">
      <t>キホンキュウ</t>
    </rPh>
    <rPh sb="27" eb="28">
      <t>トウ</t>
    </rPh>
    <rPh sb="29" eb="31">
      <t>カイゼン</t>
    </rPh>
    <rPh sb="32" eb="33">
      <t>ア</t>
    </rPh>
    <phoneticPr fontId="13"/>
  </si>
  <si>
    <t>➀</t>
    <phoneticPr fontId="13"/>
  </si>
  <si>
    <t>加算Ⅰロ・Ⅱロを取得する事業所において加算Ⅱロの加算額の1/2の見込額</t>
    <rPh sb="0" eb="2">
      <t>カサン</t>
    </rPh>
    <rPh sb="8" eb="10">
      <t>シュトク</t>
    </rPh>
    <rPh sb="12" eb="15">
      <t>ジギョウショ</t>
    </rPh>
    <rPh sb="19" eb="21">
      <t>カサン</t>
    </rPh>
    <rPh sb="24" eb="26">
      <t>カサン</t>
    </rPh>
    <rPh sb="26" eb="27">
      <t>ガク</t>
    </rPh>
    <rPh sb="32" eb="35">
      <t>ミコミガク</t>
    </rPh>
    <phoneticPr fontId="13"/>
  </si>
  <si>
    <t>【記入上の注意】
 ・ 改善後の賃金が年額460万円以上であることは、処遇改善加算による賃金改善額を含む金額で判断すること。</t>
    <rPh sb="19" eb="21">
      <t>ネンガク</t>
    </rPh>
    <rPh sb="35" eb="37">
      <t>ショグウ</t>
    </rPh>
    <rPh sb="37" eb="39">
      <t>カイゼン</t>
    </rPh>
    <rPh sb="39" eb="41">
      <t>カサン</t>
    </rPh>
    <phoneticPr fontId="13"/>
  </si>
  <si>
    <t>「生産性向上（業務改善及び働く環境改善）のための取組」のうち５以上の取組（うち⑱及び㉑は必須）を実施
かつ
処遇改善加算Ⅱロの加算額の２分の１以上を基本給等の改善に充てている</t>
    <phoneticPr fontId="13"/>
  </si>
  <si>
    <r>
      <t>改善後の賃金要件（年額460万円以上）を満たす</t>
    </r>
    <r>
      <rPr>
        <strike/>
        <sz val="14"/>
        <rFont val="ＭＳ Ｐゴシック"/>
        <family val="3"/>
        <charset val="128"/>
      </rPr>
      <t xml:space="preserve">
</t>
    </r>
    <r>
      <rPr>
        <sz val="14"/>
        <rFont val="ＭＳ Ｐゴシック"/>
        <family val="3"/>
        <charset val="128"/>
      </rPr>
      <t>※上記要件の代わりに、以下の場合も可
職場環境等要件全体で14以上の取組を実施している／誓約する</t>
    </r>
    <rPh sb="25" eb="27">
      <t>ジョウキ</t>
    </rPh>
    <rPh sb="27" eb="29">
      <t>ヨウケン</t>
    </rPh>
    <rPh sb="30" eb="31">
      <t>カ</t>
    </rPh>
    <rPh sb="35" eb="37">
      <t>イカ</t>
    </rPh>
    <rPh sb="38" eb="40">
      <t>バアイ</t>
    </rPh>
    <rPh sb="41" eb="42">
      <t>カ</t>
    </rPh>
    <phoneticPr fontId="13"/>
  </si>
  <si>
    <t>生産性向上や協働化に係る取組・処遇改善加算Ⅱロの加算額の1/2以上を基本給等の改善に充てている</t>
    <rPh sb="15" eb="17">
      <t>ショグウ</t>
    </rPh>
    <rPh sb="17" eb="21">
      <t>カイゼンカサン</t>
    </rPh>
    <rPh sb="24" eb="27">
      <t>カサンガク</t>
    </rPh>
    <rPh sb="31" eb="33">
      <t>イジョウ</t>
    </rPh>
    <rPh sb="34" eb="37">
      <t>キホンキュウ</t>
    </rPh>
    <rPh sb="37" eb="38">
      <t>トウ</t>
    </rPh>
    <rPh sb="39" eb="41">
      <t>カイゼン</t>
    </rPh>
    <rPh sb="42" eb="43">
      <t>ア</t>
    </rPh>
    <phoneticPr fontId="13"/>
  </si>
  <si>
    <t>改善後の賃金要件（年額460万円以上）を満たす
※上記要件の代わりに、以下の場合も可
職場環境等要件全体で14以上の取組を実施している／誓約する</t>
    <phoneticPr fontId="13"/>
  </si>
  <si>
    <t>生産性向上や協働化に係る取組・処遇改善加算Ⅱロの加算額の1/2以上を基本給等の改善に充てている</t>
    <phoneticPr fontId="13"/>
  </si>
  <si>
    <t>改善後の賃金が年額460万円以上となる者の数が事業所あたり１以上となるような計画になっていること。ただし、「職場環境等要件」について全体から14以上の取組を実施している場合は満たしているものとする</t>
    <rPh sb="19" eb="20">
      <t>モノ</t>
    </rPh>
    <rPh sb="21" eb="22">
      <t>カズ</t>
    </rPh>
    <rPh sb="23" eb="26">
      <t>ジギョウショ</t>
    </rPh>
    <rPh sb="30" eb="32">
      <t>イジョウ</t>
    </rPh>
    <rPh sb="38" eb="40">
      <t>ケイカク</t>
    </rPh>
    <rPh sb="78" eb="80">
      <t>ジッシ</t>
    </rPh>
    <rPh sb="84" eb="86">
      <t>バアイ</t>
    </rPh>
    <rPh sb="87" eb="88">
      <t>ミ</t>
    </rPh>
    <phoneticPr fontId="13"/>
  </si>
  <si>
    <t>Ⅱロがないもの</t>
    <phoneticPr fontId="13"/>
  </si>
  <si>
    <r>
      <t>加算の届出に係る提出先（指定権者）を</t>
    </r>
    <r>
      <rPr>
        <sz val="11"/>
        <rFont val="ＭＳ Ｐゴシック"/>
        <family val="3"/>
        <charset val="128"/>
      </rPr>
      <t>入力してください。</t>
    </r>
    <rPh sb="0" eb="2">
      <t>カサン</t>
    </rPh>
    <rPh sb="3" eb="5">
      <t>トドケデ</t>
    </rPh>
    <rPh sb="6" eb="7">
      <t>カカ</t>
    </rPh>
    <rPh sb="8" eb="10">
      <t>テイシュツ</t>
    </rPh>
    <rPh sb="10" eb="11">
      <t>サキ</t>
    </rPh>
    <rPh sb="12" eb="16">
      <t>シテイケンジャ</t>
    </rPh>
    <rPh sb="18" eb="20">
      <t>ニュウリョク</t>
    </rPh>
    <phoneticPr fontId="13"/>
  </si>
  <si>
    <t>障害者支援施設_生活介護R8</t>
    <rPh sb="0" eb="3">
      <t>ショウガイシャ</t>
    </rPh>
    <rPh sb="3" eb="5">
      <t>シエン</t>
    </rPh>
    <rPh sb="5" eb="7">
      <t>シセツ</t>
    </rPh>
    <rPh sb="8" eb="10">
      <t>セイカツ</t>
    </rPh>
    <phoneticPr fontId="3"/>
  </si>
  <si>
    <t>障害者支援施設_自立訓練_機能訓練_R8</t>
    <phoneticPr fontId="13"/>
  </si>
  <si>
    <t>障害者支援施設_自立訓練_生活訓練_R8</t>
    <phoneticPr fontId="13"/>
  </si>
  <si>
    <t>障害者支援施設_就労移行支援R8</t>
    <phoneticPr fontId="13"/>
  </si>
  <si>
    <t>障害者支援施設_就労継続支援Ａ型R8</t>
    <phoneticPr fontId="13"/>
  </si>
  <si>
    <t>障害者支援施設_就労継続支援Ｂ型R8</t>
    <phoneticPr fontId="13"/>
  </si>
  <si>
    <t>障害者支援施設_生活介護V</t>
    <rPh sb="0" eb="3">
      <t>ショウガイシャ</t>
    </rPh>
    <rPh sb="3" eb="5">
      <t>シエン</t>
    </rPh>
    <rPh sb="5" eb="7">
      <t>シセツ</t>
    </rPh>
    <rPh sb="8" eb="10">
      <t>セイカツ</t>
    </rPh>
    <phoneticPr fontId="1"/>
  </si>
  <si>
    <t>障害者支援施設_自立訓練_機能訓練_V</t>
    <phoneticPr fontId="13"/>
  </si>
  <si>
    <t>障害者支援施設_自立訓練_生活訓練_V</t>
    <phoneticPr fontId="13"/>
  </si>
  <si>
    <t>障害者支援施設_就労移行支援V</t>
    <phoneticPr fontId="13"/>
  </si>
  <si>
    <t>障害者支援施設_就労継続支援Ａ型V</t>
    <phoneticPr fontId="13"/>
  </si>
  <si>
    <t>障害者支援施設_就労継続支援Ｂ型V</t>
    <phoneticPr fontId="13"/>
  </si>
  <si>
    <t>1234567906</t>
  </si>
  <si>
    <t>障害福祉事業所名称０８</t>
  </si>
  <si>
    <t>6月以降</t>
    <rPh sb="1" eb="4">
      <t>ガツイコウ</t>
    </rPh>
    <phoneticPr fontId="13"/>
  </si>
  <si>
    <t>新類型処遇改善を算定する事業所数</t>
    <phoneticPr fontId="13"/>
  </si>
  <si>
    <t>【６月以降新規に対象となるサービスが対象】</t>
    <phoneticPr fontId="13"/>
  </si>
  <si>
    <t>・届出に係る計画の期間中に実施する事項について、チェック（✔）する又は令和８年度中に要件整備を行う誓約をすること（「誓約」）。 
・「入職促進に向けた取組」、「資質の向上やキャリアアップに向けた支援」、「両立支援・多様な働き方の推進」、「腰痛を
　含む心身の健康管理」及び「やりがい・働きがいの醸成」の区分ごとに１以上を実施すること。
・「生産性向上のための取組」のうち２以上の取組を実施すること。１法人あたり１の施設又は事業所のみを運営するような法人等の小規模事業者であり、㉔の取組を実施している場合は、㉔の２を選択すること。</t>
    <phoneticPr fontId="13"/>
  </si>
  <si>
    <t>新類型該当サービス</t>
    <rPh sb="0" eb="1">
      <t>シン</t>
    </rPh>
    <rPh sb="1" eb="3">
      <t>ルイケイ</t>
    </rPh>
    <rPh sb="3" eb="5">
      <t>ガイトウ</t>
    </rPh>
    <phoneticPr fontId="13"/>
  </si>
  <si>
    <t>そのうち加算Ⅳ相当を選択したか</t>
    <rPh sb="4" eb="6">
      <t>カサン</t>
    </rPh>
    <rPh sb="7" eb="9">
      <t>ソウトウ</t>
    </rPh>
    <rPh sb="10" eb="12">
      <t>センタク</t>
    </rPh>
    <phoneticPr fontId="13"/>
  </si>
  <si>
    <t>特例要件確認</t>
    <rPh sb="0" eb="2">
      <t>トクレイ</t>
    </rPh>
    <rPh sb="2" eb="4">
      <t>ヨウケン</t>
    </rPh>
    <rPh sb="4" eb="6">
      <t>カクニン</t>
    </rPh>
    <phoneticPr fontId="13"/>
  </si>
  <si>
    <t>「生産性向上（業務改善及び働く環境改善）のための取組」のうち５以上の取組（うち⑱及び㉑は必須）を実施
かつ
処遇改善加算Ⅱロの加算額の２分の１以上を基本給等の改善に充てている</t>
  </si>
  <si>
    <t>令和８年度特例要件を満たす（誓約する）ことでキャリアパス要件Ⅰ・Ⅱ・Ⅲを満たすこととした事業所において加算Ⅱロの加算額の1/2の見込額</t>
    <rPh sb="0" eb="2">
      <t>レイワ</t>
    </rPh>
    <rPh sb="3" eb="5">
      <t>ネンド</t>
    </rPh>
    <rPh sb="5" eb="7">
      <t>トクレイ</t>
    </rPh>
    <rPh sb="7" eb="9">
      <t>ヨウケン</t>
    </rPh>
    <rPh sb="10" eb="11">
      <t>ミ</t>
    </rPh>
    <rPh sb="14" eb="16">
      <t>セイヤク</t>
    </rPh>
    <rPh sb="28" eb="30">
      <t>ヨウケン</t>
    </rPh>
    <rPh sb="36" eb="37">
      <t>ミ</t>
    </rPh>
    <rPh sb="44" eb="47">
      <t>ジギョウショ</t>
    </rPh>
    <rPh sb="51" eb="53">
      <t>カサン</t>
    </rPh>
    <rPh sb="56" eb="59">
      <t>カサンガク</t>
    </rPh>
    <rPh sb="64" eb="67">
      <t>ミコミガク</t>
    </rPh>
    <phoneticPr fontId="13"/>
  </si>
  <si>
    <t>R8特例要件を満たすor誓約（Ⅱロがあるかないか）</t>
    <rPh sb="2" eb="4">
      <t>トクレイ</t>
    </rPh>
    <rPh sb="4" eb="6">
      <t>ヨウケン</t>
    </rPh>
    <rPh sb="7" eb="8">
      <t>ミ</t>
    </rPh>
    <rPh sb="12" eb="14">
      <t>セイヤク</t>
    </rPh>
    <phoneticPr fontId="13"/>
  </si>
  <si>
    <t>ある場合加算Ⅱロの1/2額</t>
    <rPh sb="2" eb="4">
      <t>バアイ</t>
    </rPh>
    <rPh sb="4" eb="6">
      <t>カサン</t>
    </rPh>
    <rPh sb="12" eb="13">
      <t>ガク</t>
    </rPh>
    <phoneticPr fontId="13"/>
  </si>
  <si>
    <t>ない場合加算Ⅰロの1/2額</t>
    <rPh sb="2" eb="4">
      <t>バアイ</t>
    </rPh>
    <rPh sb="4" eb="6">
      <t>カサン</t>
    </rPh>
    <rPh sb="12" eb="13">
      <t>ガク</t>
    </rPh>
    <phoneticPr fontId="13"/>
  </si>
  <si>
    <t>障害者支援施設：自立訓練（機能訓練）</t>
    <phoneticPr fontId="13"/>
  </si>
  <si>
    <t>障害者支援施設：自立訓練（生活訓練）</t>
    <phoneticPr fontId="13"/>
  </si>
  <si>
    <t>障害者支援施設：就労移行支援</t>
    <phoneticPr fontId="13"/>
  </si>
  <si>
    <t>障害者支援施設：就労継続支援Ａ型</t>
    <phoneticPr fontId="13"/>
  </si>
  <si>
    <t>障害者支援施設：就労継続支援Ｂ型</t>
    <phoneticPr fontId="13"/>
  </si>
  <si>
    <t>Ⅱロがある場合加算Ⅱロの1/2額</t>
    <rPh sb="5" eb="7">
      <t>バアイ</t>
    </rPh>
    <rPh sb="7" eb="9">
      <t>カサン</t>
    </rPh>
    <rPh sb="15" eb="16">
      <t>ガク</t>
    </rPh>
    <phoneticPr fontId="13"/>
  </si>
  <si>
    <t>ない場合加算Ⅰロの1/2額</t>
    <phoneticPr fontId="13"/>
  </si>
  <si>
    <t>総括表BI37に飛ぶ</t>
    <rPh sb="0" eb="2">
      <t>ソウカツ</t>
    </rPh>
    <rPh sb="2" eb="3">
      <t>ヒョウ</t>
    </rPh>
    <rPh sb="8" eb="9">
      <t>ト</t>
    </rPh>
    <phoneticPr fontId="13"/>
  </si>
  <si>
    <t>➂</t>
    <phoneticPr fontId="13"/>
  </si>
  <si>
    <t>令和８年度の加算による賃金改善の見込額のうち、月額賃金改善による額 
　（①+➁の見込額以上となること）</t>
    <phoneticPr fontId="13"/>
  </si>
  <si>
    <t>➃</t>
    <phoneticPr fontId="13"/>
  </si>
  <si>
    <t>➀＋➁の見込額の合計額</t>
    <rPh sb="4" eb="7">
      <t>ミコミガク</t>
    </rPh>
    <rPh sb="8" eb="10">
      <t>ゴウケイ</t>
    </rPh>
    <rPh sb="10" eb="11">
      <t>ガク</t>
    </rPh>
    <phoneticPr fontId="13"/>
  </si>
  <si>
    <t>【処遇改善加算Ⅲ・Ⅳが対象】</t>
    <rPh sb="11" eb="13">
      <t>タイショウ</t>
    </rPh>
    <phoneticPr fontId="13"/>
  </si>
  <si>
    <t>「生産性向上（業務改善及び働く環境改善）のための取組」のうち５以上の取組（うち⑱及び㉑は必須）を実施
かつ
処遇改善加算Ⅱロの加算額の２分の１以上を基本給等の改善に充てている</t>
    <phoneticPr fontId="13"/>
  </si>
  <si>
    <t>・届出に係る計画の期間中に実施する事項について、チェック（✔）する又は令和８年度中に要件整備を行う誓約をすること（「誓約」）。 
・「入職促進に向けた取組」、「資質の向上やキャリアアップに向けた支援」、「両立支援・多様な働き方の推進」、「腰痛を
　含む心身の健康管理」及び「やりがい・働きがいの醸成」の区分ごとに２以上の取組を実施すること。
・「生産性向上のための取組」のうち３以上の取組（うち⑱は必須）を実施すること。１法人あたり１の施設又は事業所のみを運営するような法人等の小規模事業者であり、㉔の取組を実施している場合は、㉔の２を選択すること。</t>
    <rPh sb="33" eb="34">
      <t>マタ</t>
    </rPh>
    <rPh sb="35" eb="37">
      <t>レイワ</t>
    </rPh>
    <rPh sb="38" eb="40">
      <t>ネンド</t>
    </rPh>
    <rPh sb="40" eb="41">
      <t>チュウ</t>
    </rPh>
    <rPh sb="42" eb="44">
      <t>ヨウケン</t>
    </rPh>
    <rPh sb="44" eb="46">
      <t>セイビ</t>
    </rPh>
    <rPh sb="47" eb="48">
      <t>オコナ</t>
    </rPh>
    <rPh sb="49" eb="51">
      <t>セイヤク</t>
    </rPh>
    <rPh sb="58" eb="60">
      <t>セイヤク</t>
    </rPh>
    <phoneticPr fontId="13"/>
  </si>
  <si>
    <t>別紙１表1-1及び表1-2に掲げる障害福祉サービス等事業所について
○「生産性向上（業務改善及び働く環境改善）のための取組」のうち５以上の取組（うち⑱及び㉑は必須）を実施している又は実績報告書の提出までに実施する見込み
かつ
処遇改善加算Ⅱロの加算額の２分の１以上を基本給等の改善に充てています。
○障害福祉サービス事業所等が所属する法人が、社会福祉連携推進法人に所属している
かつ
処遇改善加算Ⅱロの加算額の２分の１以上を基本給等の改善に充てています。
別紙１表1-4に掲げる障害福祉サービス等事業所について
○「生産性向上（業務改善及び働く環境改善）のための取組」のうち５以上の取組（うち⑱及び㉑は必須）を実施している又は実績報告書の提出までに実施する見込み
かつ
処遇改善加算の加算額の２分の１以上を基本給等の改善に充てています。
○社会福祉連携推進法人に所属しています。
かつ
処遇改善加算の加算額の２分の１以上を基本給等の改善に充てています。
別紙様式2-2、2-3「⑦令和８年度特例要件」の欄から転記</t>
    <phoneticPr fontId="13"/>
  </si>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</sst>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76" formatCode="#,##0_);[Red]\(#,##0\)"/>
    <numFmt numFmtId="177" formatCode="0.0%"/>
    <numFmt numFmtId="178" formatCode="0.00_ "/>
    <numFmt numFmtId="179" formatCode="0.0"/>
    <numFmt numFmtId="180" formatCode="0.0000"/>
    <numFmt numFmtId="181" formatCode="#,##0_ ;[Red]\-#,##0\ "/>
    <numFmt numFmtId="182" formatCode="0.000"/>
    <numFmt numFmtId="183" formatCode="0_);[Red]\(0\)"/>
    <numFmt numFmtId="184" formatCode="#,##0.00_ ;[Red]\-#,##0.00\ "/>
  </numFmts>
  <fonts count="129">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8"/>
      <name val="ＭＳ Ｐゴシック"/>
      <family val="3"/>
      <charset val="128"/>
    </font>
    <font>
      <sz val="10"/>
      <name val="ＭＳ Ｐゴシック"/>
      <family val="3"/>
      <charset val="128"/>
      <scheme val="minor"/>
    </font>
    <font>
      <sz val="11"/>
      <name val="ＭＳ Ｐゴシック"/>
      <family val="3"/>
      <charset val="128"/>
      <scheme val="minor"/>
    </font>
    <font>
      <sz val="11"/>
      <color theme="1"/>
      <name val="ＭＳ Ｐゴシック"/>
      <family val="3"/>
      <charset val="128"/>
    </font>
    <font>
      <u/>
      <sz val="11"/>
      <color theme="10"/>
      <name val="ＭＳ Ｐゴシック"/>
      <family val="3"/>
      <charset val="128"/>
    </font>
    <font>
      <sz val="12"/>
      <name val="ＭＳ Ｐゴシック"/>
      <family val="3"/>
      <charset val="128"/>
    </font>
    <font>
      <b/>
      <sz val="12"/>
      <name val="ＭＳ Ｐゴシック"/>
      <family val="3"/>
      <charset val="128"/>
    </font>
    <font>
      <b/>
      <sz val="12"/>
      <color theme="1"/>
      <name val="ＭＳ Ｐゴシック"/>
      <family val="3"/>
      <charset val="128"/>
    </font>
    <font>
      <sz val="12"/>
      <color theme="1"/>
      <name val="ＭＳ Ｐゴシック"/>
      <family val="3"/>
      <charset val="128"/>
    </font>
    <font>
      <sz val="9"/>
      <color theme="1"/>
      <name val="ＭＳ Ｐゴシック"/>
      <family val="3"/>
      <charset val="128"/>
    </font>
    <font>
      <b/>
      <sz val="11"/>
      <name val="ＭＳ Ｐゴシック"/>
      <family val="3"/>
      <charset val="128"/>
    </font>
    <font>
      <sz val="8"/>
      <color theme="1"/>
      <name val="ＭＳ Ｐゴシック"/>
      <family val="3"/>
      <charset val="128"/>
    </font>
    <font>
      <sz val="14"/>
      <color theme="1"/>
      <name val="ＭＳ Ｐゴシック"/>
      <family val="3"/>
      <charset val="128"/>
    </font>
    <font>
      <b/>
      <sz val="11"/>
      <color theme="1"/>
      <name val="ＭＳ Ｐゴシック"/>
      <family val="3"/>
      <charset val="128"/>
    </font>
    <font>
      <sz val="10"/>
      <color theme="1"/>
      <name val="ＭＳ Ｐゴシック"/>
      <family val="3"/>
      <charset val="128"/>
    </font>
    <font>
      <sz val="10"/>
      <name val="ＭＳ Ｐゴシック"/>
      <family val="3"/>
      <charset val="128"/>
    </font>
    <font>
      <b/>
      <sz val="9"/>
      <color theme="1"/>
      <name val="ＭＳ Ｐゴシック"/>
      <family val="3"/>
      <charset val="128"/>
    </font>
    <font>
      <sz val="11"/>
      <color theme="0"/>
      <name val="ＭＳ Ｐゴシック"/>
      <family val="3"/>
      <charset val="128"/>
    </font>
    <font>
      <sz val="9"/>
      <name val="ＭＳ Ｐゴシック"/>
      <family val="3"/>
      <charset val="128"/>
    </font>
    <font>
      <b/>
      <sz val="10"/>
      <name val="ＭＳ Ｐゴシック"/>
      <family val="3"/>
      <charset val="128"/>
    </font>
    <font>
      <b/>
      <sz val="10"/>
      <color theme="1"/>
      <name val="ＭＳ Ｐゴシック"/>
      <family val="3"/>
      <charset val="128"/>
    </font>
    <font>
      <b/>
      <sz val="10.5"/>
      <color theme="1"/>
      <name val="ＭＳ Ｐゴシック"/>
      <family val="3"/>
      <charset val="128"/>
    </font>
    <font>
      <sz val="10.5"/>
      <name val="ＭＳ Ｐゴシック"/>
      <family val="3"/>
      <charset val="128"/>
    </font>
    <font>
      <sz val="10.5"/>
      <color theme="1"/>
      <name val="ＭＳ Ｐゴシック"/>
      <family val="3"/>
      <charset val="128"/>
    </font>
    <font>
      <b/>
      <sz val="10.5"/>
      <name val="ＭＳ Ｐゴシック"/>
      <family val="3"/>
      <charset val="128"/>
    </font>
    <font>
      <sz val="14"/>
      <name val="ＭＳ Ｐゴシック"/>
      <family val="3"/>
      <charset val="128"/>
    </font>
    <font>
      <sz val="6"/>
      <name val="ＭＳ Ｐゴシック"/>
      <family val="3"/>
      <charset val="128"/>
      <scheme val="minor"/>
    </font>
    <font>
      <sz val="11"/>
      <color theme="1"/>
      <name val="ＭＳ Ｐゴシック"/>
      <family val="2"/>
      <scheme val="minor"/>
    </font>
    <font>
      <sz val="10"/>
      <color theme="1"/>
      <name val="ＭＳ Ｐゴシック"/>
      <family val="3"/>
      <charset val="128"/>
      <scheme val="minor"/>
    </font>
    <font>
      <sz val="11"/>
      <color theme="1"/>
      <name val="ＭＳ Ｐゴシック"/>
      <family val="3"/>
      <charset val="128"/>
      <scheme val="minor"/>
    </font>
    <font>
      <sz val="11"/>
      <color indexed="81"/>
      <name val="MS P ゴシック"/>
      <family val="3"/>
      <charset val="128"/>
    </font>
    <font>
      <sz val="10"/>
      <color rgb="FF000000"/>
      <name val="MS P ゴシック"/>
      <family val="3"/>
      <charset val="128"/>
    </font>
    <font>
      <b/>
      <u/>
      <sz val="10"/>
      <color rgb="FF000000"/>
      <name val="MS P ゴシック"/>
      <family val="3"/>
      <charset val="128"/>
    </font>
    <font>
      <b/>
      <sz val="14"/>
      <color theme="1"/>
      <name val="ＭＳ Ｐゴシック"/>
      <family val="3"/>
      <charset val="128"/>
    </font>
    <font>
      <b/>
      <sz val="10.5"/>
      <color indexed="60"/>
      <name val="ＭＳ Ｐゴシック"/>
      <family val="3"/>
      <charset val="128"/>
    </font>
    <font>
      <sz val="11"/>
      <color theme="1" tint="0.499984740745262"/>
      <name val="ＭＳ Ｐゴシック"/>
      <family val="3"/>
      <charset val="128"/>
    </font>
    <font>
      <sz val="15"/>
      <name val="ＭＳ Ｐゴシック"/>
      <family val="3"/>
      <charset val="128"/>
    </font>
    <font>
      <sz val="15"/>
      <color rgb="FFFF0000"/>
      <name val="ＭＳ Ｐゴシック"/>
      <family val="3"/>
      <charset val="128"/>
    </font>
    <font>
      <u/>
      <sz val="12"/>
      <name val="ＭＳ Ｐゴシック"/>
      <family val="3"/>
      <charset val="128"/>
    </font>
    <font>
      <sz val="9"/>
      <color indexed="81"/>
      <name val="MS P ゴシック"/>
      <family val="3"/>
      <charset val="128"/>
    </font>
    <font>
      <sz val="8"/>
      <color indexed="81"/>
      <name val="MS P ゴシック"/>
      <family val="3"/>
      <charset val="128"/>
    </font>
    <font>
      <sz val="10"/>
      <name val="Meiryo UI"/>
      <family val="3"/>
      <charset val="128"/>
    </font>
    <font>
      <sz val="15"/>
      <color theme="1" tint="0.499984740745262"/>
      <name val="ＭＳ Ｐゴシック"/>
      <family val="3"/>
      <charset val="128"/>
    </font>
    <font>
      <sz val="9"/>
      <name val="ＭＳ Ｐゴシック"/>
      <family val="3"/>
      <charset val="128"/>
      <scheme val="minor"/>
    </font>
    <font>
      <sz val="24"/>
      <name val="ＭＳ Ｐゴシック"/>
      <family val="2"/>
      <charset val="128"/>
    </font>
    <font>
      <sz val="20"/>
      <name val="ＭＳゴシック"/>
      <family val="3"/>
      <charset val="128"/>
    </font>
    <font>
      <sz val="20"/>
      <color theme="1"/>
      <name val="ＭＳゴシック"/>
      <family val="3"/>
      <charset val="128"/>
    </font>
    <font>
      <sz val="11"/>
      <name val="ＭＳ Ｐゴシック"/>
      <family val="2"/>
      <charset val="128"/>
    </font>
    <font>
      <sz val="11"/>
      <name val="ＭＳゴシック"/>
      <family val="3"/>
      <charset val="128"/>
    </font>
    <font>
      <sz val="11"/>
      <color theme="1"/>
      <name val="ＭＳゴシック"/>
      <family val="3"/>
      <charset val="128"/>
    </font>
    <font>
      <sz val="18"/>
      <name val="ＭＳ ゴシック"/>
      <family val="3"/>
      <charset val="128"/>
    </font>
    <font>
      <sz val="20"/>
      <name val="ＭＳ ゴシック"/>
      <family val="3"/>
      <charset val="128"/>
    </font>
    <font>
      <sz val="20"/>
      <name val="Segoe UI Symbol"/>
      <family val="3"/>
    </font>
    <font>
      <sz val="20"/>
      <name val="Calibri"/>
      <family val="3"/>
    </font>
    <font>
      <sz val="18"/>
      <color theme="1"/>
      <name val="ＭＳ ゴシック"/>
      <family val="3"/>
      <charset val="128"/>
    </font>
    <font>
      <sz val="24"/>
      <color theme="1"/>
      <name val="ＭＳ ゴシック"/>
      <family val="3"/>
      <charset val="128"/>
    </font>
    <font>
      <sz val="24"/>
      <name val="ＭＳ ゴシック"/>
      <family val="3"/>
      <charset val="128"/>
    </font>
    <font>
      <sz val="20"/>
      <name val="ＭＳゴシック"/>
      <family val="3"/>
    </font>
    <font>
      <sz val="10"/>
      <color rgb="FF000000"/>
      <name val="ＭＳ Ｐゴシック"/>
      <family val="3"/>
      <charset val="128"/>
      <scheme val="minor"/>
    </font>
    <font>
      <sz val="9"/>
      <color rgb="FF000000"/>
      <name val="ＭＳ Ｐゴシック"/>
      <family val="3"/>
      <charset val="128"/>
      <scheme val="minor"/>
    </font>
    <font>
      <sz val="6"/>
      <name val="ＭＳ Ｐゴシック"/>
      <family val="2"/>
      <charset val="128"/>
      <scheme val="minor"/>
    </font>
    <font>
      <sz val="11"/>
      <color theme="0" tint="-0.499984740745262"/>
      <name val="ＭＳ Ｐゴシック"/>
      <family val="3"/>
      <charset val="128"/>
    </font>
    <font>
      <sz val="12"/>
      <color rgb="FFFF0000"/>
      <name val="ＭＳ Ｐゴシック"/>
      <family val="3"/>
      <charset val="128"/>
    </font>
    <font>
      <sz val="13"/>
      <color theme="1"/>
      <name val="ＭＳ Ｐゴシック"/>
      <family val="3"/>
      <charset val="128"/>
    </font>
    <font>
      <sz val="11"/>
      <color rgb="FFFF0000"/>
      <name val="ＭＳ Ｐゴシック"/>
      <family val="3"/>
      <charset val="128"/>
    </font>
    <font>
      <sz val="8"/>
      <color rgb="FFFF0000"/>
      <name val="ＭＳ Ｐゴシック"/>
      <family val="3"/>
      <charset val="128"/>
    </font>
    <font>
      <sz val="9"/>
      <color theme="1" tint="0.499984740745262"/>
      <name val="ＭＳ Ｐゴシック"/>
      <family val="3"/>
      <charset val="128"/>
    </font>
    <font>
      <sz val="9"/>
      <color theme="0" tint="-0.499984740745262"/>
      <name val="ＭＳ Ｐゴシック"/>
      <family val="3"/>
      <charset val="128"/>
    </font>
    <font>
      <b/>
      <sz val="11"/>
      <color rgb="FFFF0000"/>
      <name val="ＭＳ Ｐゴシック"/>
      <family val="3"/>
      <charset val="128"/>
    </font>
    <font>
      <sz val="10"/>
      <color theme="1" tint="0.499984740745262"/>
      <name val="ＭＳ Ｐゴシック"/>
      <family val="3"/>
      <charset val="128"/>
    </font>
    <font>
      <sz val="10"/>
      <color theme="1" tint="0.249977111117893"/>
      <name val="ＭＳ Ｐゴシック"/>
      <family val="3"/>
      <charset val="128"/>
    </font>
    <font>
      <b/>
      <sz val="12"/>
      <color rgb="FFFF0000"/>
      <name val="ＭＳ Ｐゴシック"/>
      <family val="3"/>
      <charset val="128"/>
    </font>
    <font>
      <b/>
      <sz val="11"/>
      <color rgb="FF000000"/>
      <name val="ＭＳ Ｐゴシック"/>
      <family val="3"/>
      <charset val="128"/>
    </font>
    <font>
      <sz val="9"/>
      <color rgb="FF000000"/>
      <name val="MS P ゴシック"/>
      <family val="3"/>
      <charset val="128"/>
    </font>
    <font>
      <sz val="9"/>
      <color rgb="FF000000"/>
      <name val="MS P ゴシック"/>
      <charset val="128"/>
    </font>
    <font>
      <b/>
      <sz val="22"/>
      <color theme="1"/>
      <name val="ＭＳ Ｐゴシック"/>
      <family val="3"/>
      <charset val="128"/>
    </font>
    <font>
      <sz val="12"/>
      <color theme="1" tint="0.499984740745262"/>
      <name val="ＭＳ Ｐゴシック"/>
      <family val="3"/>
      <charset val="128"/>
    </font>
    <font>
      <sz val="14"/>
      <color theme="0" tint="-4.9989318521683403E-2"/>
      <name val="ＭＳ Ｐゴシック"/>
      <family val="3"/>
      <charset val="128"/>
    </font>
    <font>
      <sz val="11"/>
      <color theme="0" tint="-4.9989318521683403E-2"/>
      <name val="ＭＳ Ｐゴシック"/>
      <family val="3"/>
      <charset val="128"/>
    </font>
    <font>
      <sz val="18"/>
      <color theme="1"/>
      <name val="ＭＳ Ｐゴシック"/>
      <family val="3"/>
      <charset val="128"/>
    </font>
    <font>
      <sz val="11"/>
      <color theme="1" tint="0.34998626667073579"/>
      <name val="ＭＳ Ｐゴシック"/>
      <family val="3"/>
      <charset val="128"/>
    </font>
    <font>
      <sz val="14"/>
      <color rgb="FFFF0000"/>
      <name val="ＭＳ Ｐゴシック"/>
      <family val="3"/>
      <charset val="128"/>
    </font>
    <font>
      <sz val="13"/>
      <name val="ＭＳ Ｐゴシック"/>
      <family val="3"/>
      <charset val="128"/>
    </font>
    <font>
      <sz val="14"/>
      <color theme="1" tint="0.499984740745262"/>
      <name val="ＭＳ Ｐゴシック"/>
      <family val="3"/>
      <charset val="128"/>
    </font>
    <font>
      <b/>
      <sz val="16"/>
      <name val="ＭＳ Ｐゴシック"/>
      <family val="3"/>
      <charset val="128"/>
    </font>
    <font>
      <sz val="14"/>
      <color theme="1" tint="0.34998626667073579"/>
      <name val="ＭＳ Ｐゴシック"/>
      <family val="3"/>
      <charset val="128"/>
    </font>
    <font>
      <b/>
      <sz val="14"/>
      <color rgb="FFFF0000"/>
      <name val="ＭＳ Ｐゴシック"/>
      <family val="3"/>
      <charset val="128"/>
    </font>
    <font>
      <sz val="12"/>
      <color indexed="81"/>
      <name val="MS P ゴシック"/>
      <family val="3"/>
      <charset val="128"/>
    </font>
    <font>
      <sz val="20"/>
      <color theme="1"/>
      <name val="ＭＳ Ｐゴシック"/>
      <family val="3"/>
      <charset val="128"/>
    </font>
    <font>
      <sz val="10"/>
      <name val="ＭＳ 明朝"/>
      <family val="1"/>
      <charset val="128"/>
    </font>
    <font>
      <sz val="15"/>
      <color theme="1"/>
      <name val="ＭＳ Ｐゴシック"/>
      <family val="3"/>
      <charset val="128"/>
    </font>
    <font>
      <b/>
      <sz val="9"/>
      <name val="ＭＳ Ｐゴシック"/>
      <family val="3"/>
      <charset val="128"/>
    </font>
    <font>
      <b/>
      <sz val="14"/>
      <name val="ＭＳ Ｐゴシック"/>
      <family val="3"/>
      <charset val="128"/>
    </font>
    <font>
      <sz val="12"/>
      <color rgb="FF000000"/>
      <name val="ＭＳ Ｐゴシック"/>
      <family val="3"/>
      <charset val="128"/>
    </font>
    <font>
      <sz val="9"/>
      <name val="ＭＳ 明朝"/>
      <family val="1"/>
      <charset val="128"/>
    </font>
    <font>
      <sz val="12"/>
      <name val="ＭＳ ゴシック"/>
      <family val="3"/>
      <charset val="128"/>
    </font>
    <font>
      <strike/>
      <sz val="14"/>
      <name val="ＭＳ Ｐゴシック"/>
      <family val="3"/>
      <charset val="128"/>
    </font>
    <font>
      <b/>
      <sz val="8"/>
      <color theme="1"/>
      <name val="ＭＳ Ｐゴシック"/>
      <family val="3"/>
      <charset val="128"/>
    </font>
  </fonts>
  <fills count="32">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theme="0"/>
        <bgColor indexed="64"/>
      </patternFill>
    </fill>
    <fill>
      <patternFill patternType="solid">
        <fgColor rgb="FFFFC000"/>
        <bgColor indexed="64"/>
      </patternFill>
    </fill>
    <fill>
      <patternFill patternType="solid">
        <fgColor theme="0" tint="-4.9989318521683403E-2"/>
        <bgColor indexed="64"/>
      </patternFill>
    </fill>
    <fill>
      <patternFill patternType="solid">
        <fgColor rgb="FFFFFFCC"/>
        <bgColor indexed="64"/>
      </patternFill>
    </fill>
    <fill>
      <patternFill patternType="solid">
        <fgColor rgb="FFFFF2CC"/>
        <bgColor indexed="64"/>
      </patternFill>
    </fill>
    <fill>
      <patternFill patternType="solid">
        <fgColor rgb="FFFFFF00"/>
        <bgColor indexed="64"/>
      </patternFill>
    </fill>
    <fill>
      <patternFill patternType="solid">
        <fgColor theme="9" tint="0.79998168889431442"/>
        <bgColor indexed="64"/>
      </patternFill>
    </fill>
    <fill>
      <patternFill patternType="solid">
        <fgColor rgb="FFFFFFCC"/>
        <bgColor rgb="FF000000"/>
      </patternFill>
    </fill>
  </fills>
  <borders count="178">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diagonal/>
    </border>
    <border>
      <left style="medium">
        <color indexed="64"/>
      </left>
      <right/>
      <top style="thin">
        <color indexed="64"/>
      </top>
      <bottom style="medium">
        <color indexed="64"/>
      </bottom>
      <diagonal/>
    </border>
    <border>
      <left/>
      <right/>
      <top style="thin">
        <color indexed="64"/>
      </top>
      <bottom style="thin">
        <color indexed="64"/>
      </bottom>
      <diagonal/>
    </border>
    <border>
      <left/>
      <right/>
      <top style="medium">
        <color indexed="64"/>
      </top>
      <bottom/>
      <diagonal/>
    </border>
    <border>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thin">
        <color indexed="64"/>
      </right>
      <top style="medium">
        <color indexed="64"/>
      </top>
      <bottom style="thin">
        <color indexed="64"/>
      </bottom>
      <diagonal/>
    </border>
    <border>
      <left/>
      <right style="medium">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hair">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style="medium">
        <color indexed="64"/>
      </left>
      <right/>
      <top style="thin">
        <color indexed="64"/>
      </top>
      <bottom/>
      <diagonal/>
    </border>
    <border>
      <left/>
      <right style="thin">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thin">
        <color indexed="64"/>
      </right>
      <top style="medium">
        <color indexed="64"/>
      </top>
      <bottom/>
      <diagonal/>
    </border>
    <border>
      <left/>
      <right/>
      <top/>
      <bottom style="medium">
        <color indexed="30"/>
      </bottom>
      <diagonal/>
    </border>
    <border>
      <left style="medium">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top style="medium">
        <color indexed="64"/>
      </top>
      <bottom style="medium">
        <color indexed="64"/>
      </bottom>
      <diagonal/>
    </border>
    <border>
      <left style="medium">
        <color indexed="64"/>
      </left>
      <right/>
      <top/>
      <bottom style="thin">
        <color indexed="64"/>
      </bottom>
      <diagonal/>
    </border>
    <border>
      <left style="medium">
        <color indexed="64"/>
      </left>
      <right/>
      <top style="medium">
        <color indexed="64"/>
      </top>
      <bottom/>
      <diagonal/>
    </border>
    <border>
      <left style="medium">
        <color indexed="64"/>
      </left>
      <right style="thin">
        <color indexed="64"/>
      </right>
      <top/>
      <bottom style="medium">
        <color indexed="64"/>
      </bottom>
      <diagonal/>
    </border>
    <border>
      <left style="medium">
        <color indexed="64"/>
      </left>
      <right style="medium">
        <color indexed="64"/>
      </right>
      <top/>
      <bottom style="medium">
        <color indexed="64"/>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style="medium">
        <color indexed="64"/>
      </left>
      <right style="medium">
        <color indexed="64"/>
      </right>
      <top style="thin">
        <color indexed="64"/>
      </top>
      <bottom/>
      <diagonal/>
    </border>
    <border>
      <left style="medium">
        <color indexed="64"/>
      </left>
      <right/>
      <top/>
      <bottom/>
      <diagonal/>
    </border>
    <border>
      <left style="medium">
        <color indexed="64"/>
      </left>
      <right style="thin">
        <color indexed="64"/>
      </right>
      <top/>
      <bottom/>
      <diagonal/>
    </border>
    <border>
      <left/>
      <right style="hair">
        <color indexed="64"/>
      </right>
      <top style="thin">
        <color indexed="64"/>
      </top>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thin">
        <color indexed="64"/>
      </right>
      <top style="medium">
        <color indexed="64"/>
      </top>
      <bottom style="medium">
        <color indexed="64"/>
      </bottom>
      <diagonal/>
    </border>
    <border>
      <left/>
      <right style="thin">
        <color indexed="64"/>
      </right>
      <top style="thin">
        <color auto="1"/>
      </top>
      <bottom/>
      <diagonal/>
    </border>
    <border>
      <left style="hair">
        <color indexed="64"/>
      </left>
      <right/>
      <top style="thin">
        <color indexed="64"/>
      </top>
      <bottom style="thin">
        <color indexed="64"/>
      </bottom>
      <diagonal/>
    </border>
    <border>
      <left style="hair">
        <color indexed="64"/>
      </left>
      <right style="hair">
        <color indexed="64"/>
      </right>
      <top style="thin">
        <color auto="1"/>
      </top>
      <bottom style="thin">
        <color indexed="64"/>
      </bottom>
      <diagonal/>
    </border>
    <border>
      <left style="medium">
        <color indexed="64"/>
      </left>
      <right style="medium">
        <color indexed="64"/>
      </right>
      <top/>
      <bottom/>
      <diagonal/>
    </border>
    <border>
      <left/>
      <right style="medium">
        <color indexed="64"/>
      </right>
      <top/>
      <bottom/>
      <diagonal/>
    </border>
    <border>
      <left/>
      <right style="medium">
        <color indexed="64"/>
      </right>
      <top/>
      <bottom style="medium">
        <color indexed="64"/>
      </bottom>
      <diagonal/>
    </border>
    <border>
      <left/>
      <right/>
      <top style="thin">
        <color indexed="64"/>
      </top>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hair">
        <color indexed="64"/>
      </left>
      <right style="thin">
        <color indexed="64"/>
      </right>
      <top style="thin">
        <color indexed="64"/>
      </top>
      <bottom style="thin">
        <color indexed="64"/>
      </bottom>
      <diagonal/>
    </border>
    <border>
      <left style="hair">
        <color indexed="64"/>
      </left>
      <right style="thin">
        <color indexed="64"/>
      </right>
      <top style="thin">
        <color indexed="64"/>
      </top>
      <bottom/>
      <diagonal/>
    </border>
    <border>
      <left style="thin">
        <color theme="1" tint="0.499984740745262"/>
      </left>
      <right/>
      <top style="thin">
        <color theme="1" tint="0.499984740745262"/>
      </top>
      <bottom style="thin">
        <color theme="1" tint="0.499984740745262"/>
      </bottom>
      <diagonal/>
    </border>
    <border>
      <left/>
      <right style="thin">
        <color theme="1" tint="0.499984740745262"/>
      </right>
      <top style="thin">
        <color theme="1" tint="0.499984740745262"/>
      </top>
      <bottom style="thin">
        <color theme="1" tint="0.499984740745262"/>
      </bottom>
      <diagonal/>
    </border>
    <border>
      <left style="thin">
        <color indexed="64"/>
      </left>
      <right style="thin">
        <color indexed="64"/>
      </right>
      <top style="thin">
        <color indexed="64"/>
      </top>
      <bottom style="hair">
        <color indexed="64"/>
      </bottom>
      <diagonal/>
    </border>
    <border>
      <left/>
      <right style="thin">
        <color theme="1" tint="0.499984740745262"/>
      </right>
      <top/>
      <bottom/>
      <diagonal/>
    </border>
    <border>
      <left style="medium">
        <color indexed="64"/>
      </left>
      <right/>
      <top style="medium">
        <color indexed="64"/>
      </top>
      <bottom style="hair">
        <color indexed="64"/>
      </bottom>
      <diagonal/>
    </border>
    <border>
      <left style="medium">
        <color indexed="64"/>
      </left>
      <right/>
      <top/>
      <bottom style="hair">
        <color indexed="64"/>
      </bottom>
      <diagonal/>
    </border>
    <border>
      <left/>
      <right/>
      <top style="hair">
        <color indexed="64"/>
      </top>
      <bottom style="hair">
        <color indexed="64"/>
      </bottom>
      <diagonal/>
    </border>
    <border>
      <left style="medium">
        <color indexed="64"/>
      </left>
      <right/>
      <top style="hair">
        <color indexed="64"/>
      </top>
      <bottom style="thin">
        <color indexed="64"/>
      </bottom>
      <diagonal/>
    </border>
    <border>
      <left style="thin">
        <color theme="1" tint="0.499984740745262"/>
      </left>
      <right style="thin">
        <color theme="1" tint="0.499984740745262"/>
      </right>
      <top style="thin">
        <color theme="1" tint="0.499984740745262"/>
      </top>
      <bottom/>
      <diagonal/>
    </border>
    <border>
      <left style="thin">
        <color theme="1" tint="0.499984740745262"/>
      </left>
      <right style="thin">
        <color theme="1" tint="0.499984740745262"/>
      </right>
      <top/>
      <bottom/>
      <diagonal/>
    </border>
    <border>
      <left style="thin">
        <color theme="1" tint="0.499984740745262"/>
      </left>
      <right style="thin">
        <color theme="1" tint="0.499984740745262"/>
      </right>
      <top/>
      <bottom style="thin">
        <color theme="1" tint="0.499984740745262"/>
      </bottom>
      <diagonal/>
    </border>
    <border>
      <left style="medium">
        <color indexed="64"/>
      </left>
      <right/>
      <top style="hair">
        <color indexed="64"/>
      </top>
      <bottom style="medium">
        <color indexed="64"/>
      </bottom>
      <diagonal/>
    </border>
    <border>
      <left/>
      <right style="medium">
        <color indexed="64"/>
      </right>
      <top style="thin">
        <color indexed="64"/>
      </top>
      <bottom/>
      <diagonal/>
    </border>
    <border>
      <left/>
      <right/>
      <top/>
      <bottom style="thin">
        <color theme="1" tint="0.499984740745262"/>
      </bottom>
      <diagonal/>
    </border>
    <border>
      <left style="thin">
        <color theme="1" tint="0.499984740745262"/>
      </left>
      <right/>
      <top/>
      <bottom/>
      <diagonal/>
    </border>
    <border>
      <left style="thin">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thin">
        <color indexed="64"/>
      </left>
      <right style="hair">
        <color indexed="64"/>
      </right>
      <top/>
      <bottom style="thin">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style="thin">
        <color indexed="64"/>
      </top>
      <bottom style="hair">
        <color indexed="64"/>
      </bottom>
      <diagonal/>
    </border>
    <border>
      <left style="hair">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hair">
        <color indexed="64"/>
      </right>
      <top style="thin">
        <color indexed="64"/>
      </top>
      <bottom style="hair">
        <color indexed="64"/>
      </bottom>
      <diagonal/>
    </border>
    <border>
      <left/>
      <right style="medium">
        <color indexed="64"/>
      </right>
      <top style="medium">
        <color indexed="64"/>
      </top>
      <bottom style="hair">
        <color indexed="64"/>
      </bottom>
      <diagonal/>
    </border>
    <border>
      <left/>
      <right style="medium">
        <color indexed="64"/>
      </right>
      <top/>
      <bottom style="hair">
        <color indexed="64"/>
      </bottom>
      <diagonal/>
    </border>
    <border>
      <left/>
      <right style="medium">
        <color indexed="64"/>
      </right>
      <top style="hair">
        <color indexed="64"/>
      </top>
      <bottom style="thin">
        <color indexed="64"/>
      </bottom>
      <diagonal/>
    </border>
    <border>
      <left/>
      <right style="medium">
        <color indexed="64"/>
      </right>
      <top style="hair">
        <color indexed="64"/>
      </top>
      <bottom style="medium">
        <color indexed="64"/>
      </bottom>
      <diagonal/>
    </border>
    <border>
      <left/>
      <right style="medium">
        <color indexed="64"/>
      </right>
      <top style="thin">
        <color indexed="64"/>
      </top>
      <bottom style="medium">
        <color indexed="64"/>
      </bottom>
      <diagonal/>
    </border>
    <border diagonalDown="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hair">
        <color indexed="64"/>
      </top>
      <bottom style="thin">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diagonalDown="1">
      <left style="medium">
        <color indexed="64"/>
      </left>
      <right style="thin">
        <color indexed="64"/>
      </right>
      <top style="thin">
        <color indexed="64"/>
      </top>
      <bottom style="medium">
        <color indexed="64"/>
      </bottom>
      <diagonal style="thin">
        <color indexed="64"/>
      </diagonal>
    </border>
    <border diagonalDown="1">
      <left style="medium">
        <color indexed="64"/>
      </left>
      <right style="thin">
        <color indexed="64"/>
      </right>
      <top style="thin">
        <color indexed="64"/>
      </top>
      <bottom style="thin">
        <color indexed="64"/>
      </bottom>
      <diagonal style="thin">
        <color indexed="64"/>
      </diagonal>
    </border>
    <border diagonalDown="1">
      <left style="thin">
        <color indexed="64"/>
      </left>
      <right style="thin">
        <color indexed="64"/>
      </right>
      <top style="thin">
        <color indexed="64"/>
      </top>
      <bottom style="medium">
        <color indexed="64"/>
      </bottom>
      <diagonal style="thin">
        <color indexed="64"/>
      </diagonal>
    </border>
    <border>
      <left style="thin">
        <color indexed="64"/>
      </left>
      <right style="thin">
        <color indexed="64"/>
      </right>
      <top style="thin">
        <color indexed="64"/>
      </top>
      <bottom style="double">
        <color indexed="64"/>
      </bottom>
      <diagonal/>
    </border>
    <border diagonalDown="1">
      <left style="thin">
        <color indexed="64"/>
      </left>
      <right style="thin">
        <color indexed="64"/>
      </right>
      <top style="double">
        <color indexed="64"/>
      </top>
      <bottom style="thin">
        <color indexed="64"/>
      </bottom>
      <diagonal style="thin">
        <color indexed="64"/>
      </diagonal>
    </border>
    <border diagonalDown="1">
      <left style="thin">
        <color indexed="64"/>
      </left>
      <right style="thin">
        <color indexed="64"/>
      </right>
      <top style="thin">
        <color indexed="64"/>
      </top>
      <bottom/>
      <diagonal style="thin">
        <color indexed="64"/>
      </diagonal>
    </border>
    <border diagonalDown="1">
      <left style="thin">
        <color indexed="64"/>
      </left>
      <right style="medium">
        <color indexed="64"/>
      </right>
      <top style="medium">
        <color indexed="64"/>
      </top>
      <bottom style="thin">
        <color indexed="64"/>
      </bottom>
      <diagonal style="thin">
        <color indexed="64"/>
      </diagonal>
    </border>
    <border diagonalDown="1">
      <left style="thin">
        <color indexed="64"/>
      </left>
      <right style="medium">
        <color indexed="64"/>
      </right>
      <top style="thin">
        <color indexed="64"/>
      </top>
      <bottom style="thin">
        <color indexed="64"/>
      </bottom>
      <diagonal style="thin">
        <color indexed="64"/>
      </diagonal>
    </border>
    <border diagonalUp="1" diagonalDown="1">
      <left/>
      <right/>
      <top/>
      <bottom/>
      <diagonal style="thin">
        <color auto="1"/>
      </diagonal>
    </border>
    <border diagonalUp="1" diagonalDown="1">
      <left style="medium">
        <color indexed="64"/>
      </left>
      <right style="thin">
        <color indexed="64"/>
      </right>
      <top style="medium">
        <color indexed="64"/>
      </top>
      <bottom style="medium">
        <color indexed="64"/>
      </bottom>
      <diagonal style="thin">
        <color auto="1"/>
      </diagonal>
    </border>
    <border diagonalUp="1" diagonalDown="1">
      <left style="thin">
        <color indexed="64"/>
      </left>
      <right style="medium">
        <color indexed="64"/>
      </right>
      <top style="medium">
        <color indexed="64"/>
      </top>
      <bottom style="medium">
        <color indexed="64"/>
      </bottom>
      <diagonal style="thin">
        <color auto="1"/>
      </diagonal>
    </border>
    <border diagonalUp="1" diagonalDown="1">
      <left/>
      <right style="thin">
        <color indexed="64"/>
      </right>
      <top style="medium">
        <color indexed="64"/>
      </top>
      <bottom style="medium">
        <color indexed="64"/>
      </bottom>
      <diagonal style="thin">
        <color auto="1"/>
      </diagonal>
    </border>
    <border diagonalUp="1" diagonalDown="1">
      <left style="thin">
        <color indexed="64"/>
      </left>
      <right style="thin">
        <color indexed="64"/>
      </right>
      <top style="medium">
        <color indexed="64"/>
      </top>
      <bottom style="medium">
        <color indexed="64"/>
      </bottom>
      <diagonal style="thin">
        <color auto="1"/>
      </diagonal>
    </border>
    <border diagonalUp="1" diagonalDown="1">
      <left style="thin">
        <color indexed="64"/>
      </left>
      <right/>
      <top style="medium">
        <color indexed="64"/>
      </top>
      <bottom style="medium">
        <color indexed="64"/>
      </bottom>
      <diagonal style="thin">
        <color auto="1"/>
      </diagonal>
    </border>
    <border diagonalUp="1" diagonalDown="1">
      <left style="medium">
        <color indexed="64"/>
      </left>
      <right style="thin">
        <color indexed="64"/>
      </right>
      <top style="medium">
        <color indexed="64"/>
      </top>
      <bottom style="thin">
        <color indexed="64"/>
      </bottom>
      <diagonal style="thin">
        <color auto="1"/>
      </diagonal>
    </border>
    <border diagonalUp="1" diagonalDown="1">
      <left style="thin">
        <color indexed="64"/>
      </left>
      <right style="medium">
        <color indexed="64"/>
      </right>
      <top style="medium">
        <color indexed="64"/>
      </top>
      <bottom style="thin">
        <color indexed="64"/>
      </bottom>
      <diagonal style="thin">
        <color auto="1"/>
      </diagonal>
    </border>
    <border diagonalUp="1" diagonalDown="1">
      <left/>
      <right style="thin">
        <color indexed="64"/>
      </right>
      <top style="medium">
        <color indexed="64"/>
      </top>
      <bottom style="thin">
        <color indexed="64"/>
      </bottom>
      <diagonal style="thin">
        <color auto="1"/>
      </diagonal>
    </border>
    <border diagonalUp="1" diagonalDown="1">
      <left style="thin">
        <color indexed="64"/>
      </left>
      <right style="thin">
        <color indexed="64"/>
      </right>
      <top style="medium">
        <color indexed="64"/>
      </top>
      <bottom style="thin">
        <color indexed="64"/>
      </bottom>
      <diagonal style="thin">
        <color auto="1"/>
      </diagonal>
    </border>
    <border diagonalUp="1" diagonalDown="1">
      <left style="thin">
        <color indexed="64"/>
      </left>
      <right/>
      <top style="medium">
        <color indexed="64"/>
      </top>
      <bottom style="thin">
        <color indexed="64"/>
      </bottom>
      <diagonal style="thin">
        <color auto="1"/>
      </diagonal>
    </border>
    <border diagonalUp="1" diagonalDown="1">
      <left style="medium">
        <color indexed="64"/>
      </left>
      <right style="thin">
        <color indexed="64"/>
      </right>
      <top style="thin">
        <color indexed="64"/>
      </top>
      <bottom style="thin">
        <color indexed="64"/>
      </bottom>
      <diagonal style="thin">
        <color auto="1"/>
      </diagonal>
    </border>
    <border diagonalUp="1" diagonalDown="1">
      <left style="thin">
        <color indexed="64"/>
      </left>
      <right style="medium">
        <color indexed="64"/>
      </right>
      <top style="thin">
        <color indexed="64"/>
      </top>
      <bottom style="thin">
        <color indexed="64"/>
      </bottom>
      <diagonal style="thin">
        <color auto="1"/>
      </diagonal>
    </border>
    <border diagonalUp="1" diagonalDown="1">
      <left/>
      <right style="thin">
        <color indexed="64"/>
      </right>
      <top style="thin">
        <color indexed="64"/>
      </top>
      <bottom style="thin">
        <color indexed="64"/>
      </bottom>
      <diagonal style="thin">
        <color auto="1"/>
      </diagonal>
    </border>
    <border diagonalUp="1" diagonalDown="1">
      <left style="thin">
        <color indexed="64"/>
      </left>
      <right style="thin">
        <color indexed="64"/>
      </right>
      <top style="thin">
        <color indexed="64"/>
      </top>
      <bottom style="thin">
        <color indexed="64"/>
      </bottom>
      <diagonal style="thin">
        <color auto="1"/>
      </diagonal>
    </border>
    <border diagonalUp="1" diagonalDown="1">
      <left style="thin">
        <color indexed="64"/>
      </left>
      <right/>
      <top style="thin">
        <color indexed="64"/>
      </top>
      <bottom style="thin">
        <color indexed="64"/>
      </bottom>
      <diagonal style="thin">
        <color auto="1"/>
      </diagonal>
    </border>
    <border diagonalUp="1" diagonalDown="1">
      <left style="medium">
        <color indexed="64"/>
      </left>
      <right/>
      <top style="thin">
        <color indexed="64"/>
      </top>
      <bottom style="thin">
        <color indexed="64"/>
      </bottom>
      <diagonal style="thin">
        <color auto="1"/>
      </diagonal>
    </border>
    <border diagonalUp="1" diagonalDown="1">
      <left style="medium">
        <color indexed="64"/>
      </left>
      <right style="thin">
        <color indexed="64"/>
      </right>
      <top style="thin">
        <color indexed="64"/>
      </top>
      <bottom style="medium">
        <color indexed="64"/>
      </bottom>
      <diagonal style="thin">
        <color auto="1"/>
      </diagonal>
    </border>
    <border diagonalUp="1" diagonalDown="1">
      <left style="thin">
        <color indexed="64"/>
      </left>
      <right style="medium">
        <color indexed="64"/>
      </right>
      <top style="thin">
        <color indexed="64"/>
      </top>
      <bottom style="medium">
        <color indexed="64"/>
      </bottom>
      <diagonal style="thin">
        <color auto="1"/>
      </diagonal>
    </border>
    <border diagonalUp="1" diagonalDown="1">
      <left/>
      <right style="thin">
        <color indexed="64"/>
      </right>
      <top style="thin">
        <color indexed="64"/>
      </top>
      <bottom style="medium">
        <color indexed="64"/>
      </bottom>
      <diagonal style="thin">
        <color auto="1"/>
      </diagonal>
    </border>
    <border diagonalUp="1" diagonalDown="1">
      <left style="thin">
        <color indexed="64"/>
      </left>
      <right style="thin">
        <color indexed="64"/>
      </right>
      <top style="thin">
        <color indexed="64"/>
      </top>
      <bottom style="medium">
        <color indexed="64"/>
      </bottom>
      <diagonal style="thin">
        <color auto="1"/>
      </diagonal>
    </border>
    <border diagonalUp="1" diagonalDown="1">
      <left style="thin">
        <color indexed="64"/>
      </left>
      <right/>
      <top style="thin">
        <color indexed="64"/>
      </top>
      <bottom style="medium">
        <color indexed="64"/>
      </bottom>
      <diagonal style="thin">
        <color auto="1"/>
      </diagonal>
    </border>
    <border diagonalUp="1" diagonalDown="1">
      <left style="medium">
        <color indexed="64"/>
      </left>
      <right style="thin">
        <color indexed="64"/>
      </right>
      <top/>
      <bottom style="thin">
        <color indexed="64"/>
      </bottom>
      <diagonal style="thin">
        <color auto="1"/>
      </diagonal>
    </border>
    <border diagonalUp="1" diagonalDown="1">
      <left style="thin">
        <color indexed="64"/>
      </left>
      <right style="medium">
        <color indexed="64"/>
      </right>
      <top/>
      <bottom style="thin">
        <color indexed="64"/>
      </bottom>
      <diagonal style="thin">
        <color auto="1"/>
      </diagonal>
    </border>
    <border diagonalUp="1" diagonalDown="1">
      <left/>
      <right style="thin">
        <color indexed="64"/>
      </right>
      <top/>
      <bottom style="thin">
        <color indexed="64"/>
      </bottom>
      <diagonal style="thin">
        <color auto="1"/>
      </diagonal>
    </border>
    <border diagonalUp="1" diagonalDown="1">
      <left style="thin">
        <color indexed="64"/>
      </left>
      <right style="thin">
        <color indexed="64"/>
      </right>
      <top/>
      <bottom style="thin">
        <color indexed="64"/>
      </bottom>
      <diagonal style="thin">
        <color auto="1"/>
      </diagonal>
    </border>
    <border diagonalUp="1" diagonalDown="1">
      <left style="medium">
        <color indexed="64"/>
      </left>
      <right style="thin">
        <color indexed="64"/>
      </right>
      <top style="thin">
        <color indexed="64"/>
      </top>
      <bottom/>
      <diagonal style="thin">
        <color auto="1"/>
      </diagonal>
    </border>
    <border diagonalUp="1" diagonalDown="1">
      <left style="thin">
        <color indexed="64"/>
      </left>
      <right style="medium">
        <color indexed="64"/>
      </right>
      <top style="thin">
        <color indexed="64"/>
      </top>
      <bottom/>
      <diagonal style="thin">
        <color auto="1"/>
      </diagonal>
    </border>
    <border diagonalUp="1" diagonalDown="1">
      <left/>
      <right style="thin">
        <color indexed="64"/>
      </right>
      <top style="thin">
        <color auto="1"/>
      </top>
      <bottom/>
      <diagonal style="thin">
        <color auto="1"/>
      </diagonal>
    </border>
    <border diagonalUp="1" diagonalDown="1">
      <left style="thin">
        <color indexed="64"/>
      </left>
      <right style="thin">
        <color indexed="64"/>
      </right>
      <top style="thin">
        <color indexed="64"/>
      </top>
      <bottom/>
      <diagonal style="thin">
        <color auto="1"/>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left style="medium">
        <color indexed="64"/>
      </left>
      <right style="medium">
        <color indexed="64"/>
      </right>
      <top style="thick">
        <color indexed="64"/>
      </top>
      <bottom style="thick">
        <color indexed="64"/>
      </bottom>
      <diagonal/>
    </border>
  </borders>
  <cellStyleXfs count="102">
    <xf numFmtId="0" fontId="0" fillId="0" borderId="0">
      <alignment vertical="center"/>
    </xf>
    <xf numFmtId="0" fontId="14" fillId="2" borderId="0" applyNumberFormat="0" applyBorder="0" applyAlignment="0" applyProtection="0">
      <alignment vertical="center"/>
    </xf>
    <xf numFmtId="0" fontId="14" fillId="3" borderId="0" applyNumberFormat="0" applyBorder="0" applyAlignment="0" applyProtection="0">
      <alignment vertical="center"/>
    </xf>
    <xf numFmtId="0" fontId="14" fillId="4" borderId="0" applyNumberFormat="0" applyBorder="0" applyAlignment="0" applyProtection="0">
      <alignment vertical="center"/>
    </xf>
    <xf numFmtId="0" fontId="14" fillId="5" borderId="0" applyNumberFormat="0" applyBorder="0" applyAlignment="0" applyProtection="0">
      <alignment vertical="center"/>
    </xf>
    <xf numFmtId="0" fontId="14" fillId="6" borderId="0" applyNumberFormat="0" applyBorder="0" applyAlignment="0" applyProtection="0">
      <alignment vertical="center"/>
    </xf>
    <xf numFmtId="0" fontId="14" fillId="7" borderId="0" applyNumberFormat="0" applyBorder="0" applyAlignment="0" applyProtection="0">
      <alignment vertical="center"/>
    </xf>
    <xf numFmtId="0" fontId="14" fillId="8" borderId="0" applyNumberFormat="0" applyBorder="0" applyAlignment="0" applyProtection="0">
      <alignment vertical="center"/>
    </xf>
    <xf numFmtId="0" fontId="14" fillId="9" borderId="0" applyNumberFormat="0" applyBorder="0" applyAlignment="0" applyProtection="0">
      <alignment vertical="center"/>
    </xf>
    <xf numFmtId="0" fontId="14" fillId="10" borderId="0" applyNumberFormat="0" applyBorder="0" applyAlignment="0" applyProtection="0">
      <alignment vertical="center"/>
    </xf>
    <xf numFmtId="0" fontId="14" fillId="5" borderId="0" applyNumberFormat="0" applyBorder="0" applyAlignment="0" applyProtection="0">
      <alignment vertical="center"/>
    </xf>
    <xf numFmtId="0" fontId="14" fillId="8" borderId="0" applyNumberFormat="0" applyBorder="0" applyAlignment="0" applyProtection="0">
      <alignment vertical="center"/>
    </xf>
    <xf numFmtId="0" fontId="14" fillId="11" borderId="0" applyNumberFormat="0" applyBorder="0" applyAlignment="0" applyProtection="0">
      <alignment vertical="center"/>
    </xf>
    <xf numFmtId="0" fontId="15" fillId="12" borderId="0" applyNumberFormat="0" applyBorder="0" applyAlignment="0" applyProtection="0">
      <alignment vertical="center"/>
    </xf>
    <xf numFmtId="0" fontId="15" fillId="9" borderId="0" applyNumberFormat="0" applyBorder="0" applyAlignment="0" applyProtection="0">
      <alignment vertical="center"/>
    </xf>
    <xf numFmtId="0" fontId="15" fillId="10" borderId="0" applyNumberFormat="0" applyBorder="0" applyAlignment="0" applyProtection="0">
      <alignment vertical="center"/>
    </xf>
    <xf numFmtId="0" fontId="15" fillId="13" borderId="0" applyNumberFormat="0" applyBorder="0" applyAlignment="0" applyProtection="0">
      <alignment vertical="center"/>
    </xf>
    <xf numFmtId="0" fontId="15" fillId="14" borderId="0" applyNumberFormat="0" applyBorder="0" applyAlignment="0" applyProtection="0">
      <alignment vertical="center"/>
    </xf>
    <xf numFmtId="0" fontId="15" fillId="15" borderId="0" applyNumberFormat="0" applyBorder="0" applyAlignment="0" applyProtection="0">
      <alignment vertical="center"/>
    </xf>
    <xf numFmtId="0" fontId="15" fillId="16" borderId="0" applyNumberFormat="0" applyBorder="0" applyAlignment="0" applyProtection="0">
      <alignment vertical="center"/>
    </xf>
    <xf numFmtId="0" fontId="15" fillId="17" borderId="0" applyNumberFormat="0" applyBorder="0" applyAlignment="0" applyProtection="0">
      <alignment vertical="center"/>
    </xf>
    <xf numFmtId="0" fontId="15" fillId="18" borderId="0" applyNumberFormat="0" applyBorder="0" applyAlignment="0" applyProtection="0">
      <alignment vertical="center"/>
    </xf>
    <xf numFmtId="0" fontId="15" fillId="13" borderId="0" applyNumberFormat="0" applyBorder="0" applyAlignment="0" applyProtection="0">
      <alignment vertical="center"/>
    </xf>
    <xf numFmtId="0" fontId="15" fillId="14" borderId="0" applyNumberFormat="0" applyBorder="0" applyAlignment="0" applyProtection="0">
      <alignment vertical="center"/>
    </xf>
    <xf numFmtId="0" fontId="15" fillId="19" borderId="0" applyNumberFormat="0" applyBorder="0" applyAlignment="0" applyProtection="0">
      <alignment vertical="center"/>
    </xf>
    <xf numFmtId="0" fontId="16" fillId="0" borderId="0" applyNumberFormat="0" applyFill="0" applyBorder="0" applyAlignment="0" applyProtection="0">
      <alignment vertical="center"/>
    </xf>
    <xf numFmtId="0" fontId="17" fillId="20" borderId="1" applyNumberFormat="0" applyAlignment="0" applyProtection="0">
      <alignment vertical="center"/>
    </xf>
    <xf numFmtId="0" fontId="18" fillId="21" borderId="0" applyNumberFormat="0" applyBorder="0" applyAlignment="0" applyProtection="0">
      <alignment vertical="center"/>
    </xf>
    <xf numFmtId="9" fontId="12" fillId="0" borderId="0" applyFont="0" applyFill="0" applyBorder="0" applyAlignment="0" applyProtection="0">
      <alignment vertical="center"/>
    </xf>
    <xf numFmtId="0" fontId="14" fillId="22" borderId="2" applyNumberFormat="0" applyFont="0" applyAlignment="0" applyProtection="0">
      <alignment vertical="center"/>
    </xf>
    <xf numFmtId="0" fontId="19" fillId="0" borderId="3" applyNumberFormat="0" applyFill="0" applyAlignment="0" applyProtection="0">
      <alignment vertical="center"/>
    </xf>
    <xf numFmtId="0" fontId="20" fillId="3" borderId="0" applyNumberFormat="0" applyBorder="0" applyAlignment="0" applyProtection="0">
      <alignment vertical="center"/>
    </xf>
    <xf numFmtId="0" fontId="21" fillId="23" borderId="4" applyNumberFormat="0" applyAlignment="0" applyProtection="0">
      <alignment vertical="center"/>
    </xf>
    <xf numFmtId="0" fontId="22" fillId="0" borderId="0" applyNumberFormat="0" applyFill="0" applyBorder="0" applyAlignment="0" applyProtection="0">
      <alignment vertical="center"/>
    </xf>
    <xf numFmtId="38" fontId="12" fillId="0" borderId="0" applyFont="0" applyFill="0" applyBorder="0" applyAlignment="0" applyProtection="0">
      <alignment vertical="center"/>
    </xf>
    <xf numFmtId="0" fontId="23" fillId="0" borderId="5" applyNumberFormat="0" applyFill="0" applyAlignment="0" applyProtection="0">
      <alignment vertical="center"/>
    </xf>
    <xf numFmtId="0" fontId="24" fillId="0" borderId="6" applyNumberFormat="0" applyFill="0" applyAlignment="0" applyProtection="0">
      <alignment vertical="center"/>
    </xf>
    <xf numFmtId="0" fontId="25" fillId="0" borderId="7" applyNumberFormat="0" applyFill="0" applyAlignment="0" applyProtection="0">
      <alignment vertical="center"/>
    </xf>
    <xf numFmtId="0" fontId="25" fillId="0" borderId="0" applyNumberFormat="0" applyFill="0" applyBorder="0" applyAlignment="0" applyProtection="0">
      <alignment vertical="center"/>
    </xf>
    <xf numFmtId="0" fontId="26" fillId="0" borderId="8" applyNumberFormat="0" applyFill="0" applyAlignment="0" applyProtection="0">
      <alignment vertical="center"/>
    </xf>
    <xf numFmtId="0" fontId="27" fillId="23" borderId="9" applyNumberFormat="0" applyAlignment="0" applyProtection="0">
      <alignment vertical="center"/>
    </xf>
    <xf numFmtId="0" fontId="28" fillId="0" borderId="0" applyNumberFormat="0" applyFill="0" applyBorder="0" applyAlignment="0" applyProtection="0">
      <alignment vertical="center"/>
    </xf>
    <xf numFmtId="0" fontId="29" fillId="7" borderId="4" applyNumberFormat="0" applyAlignment="0" applyProtection="0">
      <alignment vertical="center"/>
    </xf>
    <xf numFmtId="0" fontId="31" fillId="0" borderId="0"/>
    <xf numFmtId="0" fontId="30" fillId="4" borderId="0" applyNumberFormat="0" applyBorder="0" applyAlignment="0" applyProtection="0">
      <alignment vertical="center"/>
    </xf>
    <xf numFmtId="0" fontId="11" fillId="0" borderId="0">
      <alignment vertical="center"/>
    </xf>
    <xf numFmtId="0" fontId="10" fillId="0" borderId="0">
      <alignment vertical="center"/>
    </xf>
    <xf numFmtId="0" fontId="9" fillId="0" borderId="0">
      <alignment vertical="center"/>
    </xf>
    <xf numFmtId="0" fontId="35" fillId="0" borderId="0" applyNumberFormat="0" applyFill="0" applyBorder="0" applyAlignment="0" applyProtection="0">
      <alignment vertical="center"/>
    </xf>
    <xf numFmtId="38" fontId="12" fillId="0" borderId="0" applyFont="0" applyFill="0" applyBorder="0" applyAlignment="0" applyProtection="0">
      <alignment vertical="center"/>
    </xf>
    <xf numFmtId="9" fontId="12" fillId="0" borderId="0" applyFont="0" applyFill="0" applyBorder="0" applyAlignment="0" applyProtection="0">
      <alignment vertical="center"/>
    </xf>
    <xf numFmtId="0" fontId="8" fillId="0" borderId="0">
      <alignment vertical="center"/>
    </xf>
    <xf numFmtId="0" fontId="14" fillId="2" borderId="0" applyNumberFormat="0" applyBorder="0" applyAlignment="0" applyProtection="0">
      <alignment vertical="center"/>
    </xf>
    <xf numFmtId="0" fontId="14" fillId="3" borderId="0" applyNumberFormat="0" applyBorder="0" applyAlignment="0" applyProtection="0">
      <alignment vertical="center"/>
    </xf>
    <xf numFmtId="0" fontId="14" fillId="4" borderId="0" applyNumberFormat="0" applyBorder="0" applyAlignment="0" applyProtection="0">
      <alignment vertical="center"/>
    </xf>
    <xf numFmtId="0" fontId="14" fillId="5" borderId="0" applyNumberFormat="0" applyBorder="0" applyAlignment="0" applyProtection="0">
      <alignment vertical="center"/>
    </xf>
    <xf numFmtId="0" fontId="14" fillId="6" borderId="0" applyNumberFormat="0" applyBorder="0" applyAlignment="0" applyProtection="0">
      <alignment vertical="center"/>
    </xf>
    <xf numFmtId="0" fontId="14" fillId="7" borderId="0" applyNumberFormat="0" applyBorder="0" applyAlignment="0" applyProtection="0">
      <alignment vertical="center"/>
    </xf>
    <xf numFmtId="0" fontId="14" fillId="8" borderId="0" applyNumberFormat="0" applyBorder="0" applyAlignment="0" applyProtection="0">
      <alignment vertical="center"/>
    </xf>
    <xf numFmtId="0" fontId="14" fillId="9" borderId="0" applyNumberFormat="0" applyBorder="0" applyAlignment="0" applyProtection="0">
      <alignment vertical="center"/>
    </xf>
    <xf numFmtId="0" fontId="14" fillId="10" borderId="0" applyNumberFormat="0" applyBorder="0" applyAlignment="0" applyProtection="0">
      <alignment vertical="center"/>
    </xf>
    <xf numFmtId="0" fontId="14" fillId="5" borderId="0" applyNumberFormat="0" applyBorder="0" applyAlignment="0" applyProtection="0">
      <alignment vertical="center"/>
    </xf>
    <xf numFmtId="0" fontId="14" fillId="8" borderId="0" applyNumberFormat="0" applyBorder="0" applyAlignment="0" applyProtection="0">
      <alignment vertical="center"/>
    </xf>
    <xf numFmtId="0" fontId="14" fillId="11" borderId="0" applyNumberFormat="0" applyBorder="0" applyAlignment="0" applyProtection="0">
      <alignment vertical="center"/>
    </xf>
    <xf numFmtId="0" fontId="15" fillId="12" borderId="0" applyNumberFormat="0" applyBorder="0" applyAlignment="0" applyProtection="0">
      <alignment vertical="center"/>
    </xf>
    <xf numFmtId="0" fontId="15" fillId="9" borderId="0" applyNumberFormat="0" applyBorder="0" applyAlignment="0" applyProtection="0">
      <alignment vertical="center"/>
    </xf>
    <xf numFmtId="0" fontId="15" fillId="10" borderId="0" applyNumberFormat="0" applyBorder="0" applyAlignment="0" applyProtection="0">
      <alignment vertical="center"/>
    </xf>
    <xf numFmtId="0" fontId="15" fillId="13" borderId="0" applyNumberFormat="0" applyBorder="0" applyAlignment="0" applyProtection="0">
      <alignment vertical="center"/>
    </xf>
    <xf numFmtId="0" fontId="15" fillId="14" borderId="0" applyNumberFormat="0" applyBorder="0" applyAlignment="0" applyProtection="0">
      <alignment vertical="center"/>
    </xf>
    <xf numFmtId="0" fontId="15" fillId="15" borderId="0" applyNumberFormat="0" applyBorder="0" applyAlignment="0" applyProtection="0">
      <alignment vertical="center"/>
    </xf>
    <xf numFmtId="0" fontId="15" fillId="16" borderId="0" applyNumberFormat="0" applyBorder="0" applyAlignment="0" applyProtection="0">
      <alignment vertical="center"/>
    </xf>
    <xf numFmtId="0" fontId="15" fillId="17" borderId="0" applyNumberFormat="0" applyBorder="0" applyAlignment="0" applyProtection="0">
      <alignment vertical="center"/>
    </xf>
    <xf numFmtId="0" fontId="15" fillId="18" borderId="0" applyNumberFormat="0" applyBorder="0" applyAlignment="0" applyProtection="0">
      <alignment vertical="center"/>
    </xf>
    <xf numFmtId="0" fontId="15" fillId="13" borderId="0" applyNumberFormat="0" applyBorder="0" applyAlignment="0" applyProtection="0">
      <alignment vertical="center"/>
    </xf>
    <xf numFmtId="0" fontId="15" fillId="14" borderId="0" applyNumberFormat="0" applyBorder="0" applyAlignment="0" applyProtection="0">
      <alignment vertical="center"/>
    </xf>
    <xf numFmtId="0" fontId="15" fillId="19" borderId="0" applyNumberFormat="0" applyBorder="0" applyAlignment="0" applyProtection="0">
      <alignment vertical="center"/>
    </xf>
    <xf numFmtId="0" fontId="16" fillId="0" borderId="0" applyNumberFormat="0" applyFill="0" applyBorder="0" applyAlignment="0" applyProtection="0">
      <alignment vertical="center"/>
    </xf>
    <xf numFmtId="0" fontId="17" fillId="20" borderId="1" applyNumberFormat="0" applyAlignment="0" applyProtection="0">
      <alignment vertical="center"/>
    </xf>
    <xf numFmtId="0" fontId="18" fillId="21" borderId="0" applyNumberFormat="0" applyBorder="0" applyAlignment="0" applyProtection="0">
      <alignment vertical="center"/>
    </xf>
    <xf numFmtId="0" fontId="14" fillId="22" borderId="2" applyNumberFormat="0" applyFont="0" applyAlignment="0" applyProtection="0">
      <alignment vertical="center"/>
    </xf>
    <xf numFmtId="0" fontId="19" fillId="0" borderId="3" applyNumberFormat="0" applyFill="0" applyAlignment="0" applyProtection="0">
      <alignment vertical="center"/>
    </xf>
    <xf numFmtId="0" fontId="20" fillId="3" borderId="0" applyNumberFormat="0" applyBorder="0" applyAlignment="0" applyProtection="0">
      <alignment vertical="center"/>
    </xf>
    <xf numFmtId="0" fontId="21" fillId="23" borderId="4" applyNumberFormat="0" applyAlignment="0" applyProtection="0">
      <alignment vertical="center"/>
    </xf>
    <xf numFmtId="0" fontId="22" fillId="0" borderId="0" applyNumberFormat="0" applyFill="0" applyBorder="0" applyAlignment="0" applyProtection="0">
      <alignment vertical="center"/>
    </xf>
    <xf numFmtId="0" fontId="23" fillId="0" borderId="5" applyNumberFormat="0" applyFill="0" applyAlignment="0" applyProtection="0">
      <alignment vertical="center"/>
    </xf>
    <xf numFmtId="0" fontId="24" fillId="0" borderId="6" applyNumberFormat="0" applyFill="0" applyAlignment="0" applyProtection="0">
      <alignment vertical="center"/>
    </xf>
    <xf numFmtId="0" fontId="25" fillId="0" borderId="59" applyNumberFormat="0" applyFill="0" applyAlignment="0" applyProtection="0">
      <alignment vertical="center"/>
    </xf>
    <xf numFmtId="0" fontId="25" fillId="0" borderId="0" applyNumberFormat="0" applyFill="0" applyBorder="0" applyAlignment="0" applyProtection="0">
      <alignment vertical="center"/>
    </xf>
    <xf numFmtId="0" fontId="26" fillId="0" borderId="8" applyNumberFormat="0" applyFill="0" applyAlignment="0" applyProtection="0">
      <alignment vertical="center"/>
    </xf>
    <xf numFmtId="0" fontId="27" fillId="23" borderId="9" applyNumberFormat="0" applyAlignment="0" applyProtection="0">
      <alignment vertical="center"/>
    </xf>
    <xf numFmtId="0" fontId="28" fillId="0" borderId="0" applyNumberFormat="0" applyFill="0" applyBorder="0" applyAlignment="0" applyProtection="0">
      <alignment vertical="center"/>
    </xf>
    <xf numFmtId="0" fontId="29" fillId="7" borderId="4" applyNumberFormat="0" applyAlignment="0" applyProtection="0">
      <alignment vertical="center"/>
    </xf>
    <xf numFmtId="0" fontId="31" fillId="0" borderId="0"/>
    <xf numFmtId="0" fontId="30" fillId="4" borderId="0" applyNumberFormat="0" applyBorder="0" applyAlignment="0" applyProtection="0">
      <alignment vertical="center"/>
    </xf>
    <xf numFmtId="0" fontId="8" fillId="0" borderId="0">
      <alignment vertical="center"/>
    </xf>
    <xf numFmtId="0" fontId="8" fillId="0" borderId="0">
      <alignment vertical="center"/>
    </xf>
    <xf numFmtId="0" fontId="8" fillId="0" borderId="0">
      <alignment vertical="center"/>
    </xf>
    <xf numFmtId="0" fontId="12" fillId="0" borderId="0">
      <alignment vertical="center"/>
    </xf>
    <xf numFmtId="0" fontId="58" fillId="0" borderId="0"/>
    <xf numFmtId="0" fontId="60" fillId="0" borderId="0">
      <alignment vertical="center"/>
    </xf>
    <xf numFmtId="0" fontId="12" fillId="0" borderId="0"/>
    <xf numFmtId="0" fontId="12" fillId="0" borderId="0">
      <alignment vertical="center"/>
    </xf>
  </cellStyleXfs>
  <cellXfs count="1092">
    <xf numFmtId="0" fontId="0" fillId="0" borderId="0" xfId="0">
      <alignment vertical="center"/>
    </xf>
    <xf numFmtId="0" fontId="33" fillId="0" borderId="0" xfId="0" applyFont="1">
      <alignment vertical="center"/>
    </xf>
    <xf numFmtId="0" fontId="32" fillId="0" borderId="0" xfId="0" applyFont="1">
      <alignment vertical="center"/>
    </xf>
    <xf numFmtId="0" fontId="32" fillId="0" borderId="50" xfId="0" applyFont="1" applyBorder="1">
      <alignment vertical="center"/>
    </xf>
    <xf numFmtId="0" fontId="32" fillId="0" borderId="56" xfId="0" applyFont="1" applyBorder="1">
      <alignment vertical="center"/>
    </xf>
    <xf numFmtId="0" fontId="32" fillId="0" borderId="57" xfId="0" applyFont="1" applyBorder="1">
      <alignment vertical="center"/>
    </xf>
    <xf numFmtId="0" fontId="32" fillId="0" borderId="55" xfId="0" applyFont="1" applyBorder="1">
      <alignment vertical="center"/>
    </xf>
    <xf numFmtId="0" fontId="59" fillId="0" borderId="0" xfId="98" applyFont="1" applyAlignment="1">
      <alignment vertical="center"/>
    </xf>
    <xf numFmtId="0" fontId="33" fillId="0" borderId="57" xfId="0" applyFont="1" applyBorder="1">
      <alignment vertical="center"/>
    </xf>
    <xf numFmtId="0" fontId="33" fillId="0" borderId="60" xfId="0" applyFont="1" applyBorder="1">
      <alignment vertical="center"/>
    </xf>
    <xf numFmtId="0" fontId="32" fillId="0" borderId="33" xfId="0" applyFont="1" applyBorder="1" applyAlignment="1">
      <alignment horizontal="left" vertical="center" wrapText="1"/>
    </xf>
    <xf numFmtId="0" fontId="32" fillId="0" borderId="50" xfId="0" applyFont="1" applyBorder="1" applyAlignment="1">
      <alignment vertical="center" wrapText="1"/>
    </xf>
    <xf numFmtId="0" fontId="0" fillId="0" borderId="0" xfId="0" applyProtection="1">
      <alignment vertical="center"/>
      <protection locked="0"/>
    </xf>
    <xf numFmtId="0" fontId="46" fillId="0" borderId="0" xfId="0" applyFont="1">
      <alignment vertical="center"/>
    </xf>
    <xf numFmtId="0" fontId="53" fillId="0" borderId="0" xfId="0" applyFont="1">
      <alignment vertical="center"/>
    </xf>
    <xf numFmtId="0" fontId="52" fillId="24" borderId="0" xfId="0" applyFont="1" applyFill="1" applyAlignment="1">
      <alignment vertical="center" wrapText="1"/>
    </xf>
    <xf numFmtId="0" fontId="40" fillId="24" borderId="0" xfId="0" applyFont="1" applyFill="1">
      <alignment vertical="center"/>
    </xf>
    <xf numFmtId="0" fontId="0" fillId="0" borderId="0" xfId="0" applyAlignment="1">
      <alignment vertical="center" wrapText="1"/>
    </xf>
    <xf numFmtId="0" fontId="0" fillId="24" borderId="0" xfId="0" applyFill="1">
      <alignment vertical="center"/>
    </xf>
    <xf numFmtId="0" fontId="46" fillId="24" borderId="0" xfId="0" applyFont="1" applyFill="1">
      <alignment vertical="center"/>
    </xf>
    <xf numFmtId="0" fontId="55" fillId="24" borderId="0" xfId="0" applyFont="1" applyFill="1">
      <alignment vertical="center"/>
    </xf>
    <xf numFmtId="0" fontId="38" fillId="24" borderId="0" xfId="0" applyFont="1" applyFill="1">
      <alignment vertical="center"/>
    </xf>
    <xf numFmtId="0" fontId="37" fillId="24" borderId="0" xfId="0" applyFont="1" applyFill="1">
      <alignment vertical="center"/>
    </xf>
    <xf numFmtId="0" fontId="34" fillId="24" borderId="0" xfId="0" applyFont="1" applyFill="1">
      <alignment vertical="center"/>
    </xf>
    <xf numFmtId="0" fontId="36" fillId="0" borderId="0" xfId="0" applyFont="1">
      <alignment vertical="center"/>
    </xf>
    <xf numFmtId="0" fontId="40" fillId="24" borderId="0" xfId="0" applyFont="1" applyFill="1" applyAlignment="1">
      <alignment vertical="center" wrapText="1"/>
    </xf>
    <xf numFmtId="177" fontId="32" fillId="0" borderId="10" xfId="28" applyNumberFormat="1" applyFont="1" applyBorder="1" applyAlignment="1">
      <alignment vertical="center" wrapText="1"/>
    </xf>
    <xf numFmtId="0" fontId="66" fillId="0" borderId="0" xfId="0" applyFont="1">
      <alignment vertical="center"/>
    </xf>
    <xf numFmtId="0" fontId="44" fillId="24" borderId="0" xfId="0" applyFont="1" applyFill="1">
      <alignment vertical="center"/>
    </xf>
    <xf numFmtId="0" fontId="45" fillId="24" borderId="0" xfId="0" applyFont="1" applyFill="1">
      <alignment vertical="center"/>
    </xf>
    <xf numFmtId="0" fontId="45" fillId="24" borderId="0" xfId="0" applyFont="1" applyFill="1" applyAlignment="1">
      <alignment horizontal="center" vertical="center"/>
    </xf>
    <xf numFmtId="49" fontId="72" fillId="0" borderId="0" xfId="0" applyNumberFormat="1" applyFont="1">
      <alignment vertical="center"/>
    </xf>
    <xf numFmtId="180" fontId="33" fillId="0" borderId="0" xfId="0" applyNumberFormat="1" applyFont="1">
      <alignment vertical="center"/>
    </xf>
    <xf numFmtId="0" fontId="72" fillId="0" borderId="0" xfId="0" applyFont="1">
      <alignment vertical="center"/>
    </xf>
    <xf numFmtId="0" fontId="32" fillId="0" borderId="54" xfId="0" applyFont="1" applyBorder="1" applyAlignment="1">
      <alignment vertical="center" wrapText="1"/>
    </xf>
    <xf numFmtId="0" fontId="33" fillId="0" borderId="55" xfId="0" applyFont="1" applyBorder="1">
      <alignment vertical="center"/>
    </xf>
    <xf numFmtId="0" fontId="33" fillId="0" borderId="56" xfId="0" applyFont="1" applyBorder="1">
      <alignment vertical="center"/>
    </xf>
    <xf numFmtId="0" fontId="39" fillId="0" borderId="0" xfId="0" applyFont="1">
      <alignment vertical="center"/>
    </xf>
    <xf numFmtId="0" fontId="39" fillId="0" borderId="0" xfId="0" applyFont="1" applyAlignment="1">
      <alignment horizontal="left" vertical="center"/>
    </xf>
    <xf numFmtId="0" fontId="36" fillId="0" borderId="0" xfId="0" applyFont="1" applyAlignment="1">
      <alignment horizontal="left" vertical="center"/>
    </xf>
    <xf numFmtId="0" fontId="38" fillId="0" borderId="0" xfId="0" applyFont="1">
      <alignment vertical="center"/>
    </xf>
    <xf numFmtId="0" fontId="67" fillId="0" borderId="0" xfId="0" applyFont="1">
      <alignment vertical="center"/>
    </xf>
    <xf numFmtId="0" fontId="41" fillId="0" borderId="0" xfId="0" applyFont="1" applyAlignment="1">
      <alignment horizontal="center" vertical="center" wrapText="1"/>
    </xf>
    <xf numFmtId="0" fontId="73" fillId="0" borderId="0" xfId="0" applyFont="1">
      <alignment vertical="center"/>
    </xf>
    <xf numFmtId="0" fontId="34" fillId="0" borderId="0" xfId="0" applyFont="1" applyAlignment="1">
      <alignment horizontal="left" vertical="center" wrapText="1"/>
    </xf>
    <xf numFmtId="0" fontId="44" fillId="0" borderId="0" xfId="0" applyFont="1" applyAlignment="1">
      <alignment horizontal="left" vertical="center" wrapText="1"/>
    </xf>
    <xf numFmtId="0" fontId="68" fillId="0" borderId="0" xfId="0" applyFont="1">
      <alignment vertical="center"/>
    </xf>
    <xf numFmtId="0" fontId="56" fillId="0" borderId="0" xfId="0" applyFont="1">
      <alignment vertical="center"/>
    </xf>
    <xf numFmtId="0" fontId="34" fillId="0" borderId="0" xfId="0" applyFont="1">
      <alignment vertical="center"/>
    </xf>
    <xf numFmtId="0" fontId="39" fillId="0" borderId="0" xfId="0" applyFont="1" applyAlignment="1">
      <alignment horizontal="center" vertical="center" wrapText="1"/>
    </xf>
    <xf numFmtId="0" fontId="42" fillId="0" borderId="12" xfId="0" applyFont="1" applyBorder="1" applyAlignment="1">
      <alignment horizontal="center" vertical="center"/>
    </xf>
    <xf numFmtId="0" fontId="37" fillId="24" borderId="0" xfId="0" applyFont="1" applyFill="1" applyAlignment="1">
      <alignment vertical="top" wrapText="1"/>
    </xf>
    <xf numFmtId="0" fontId="0" fillId="24" borderId="0" xfId="0" applyFill="1" applyAlignment="1">
      <alignment vertical="center" wrapText="1"/>
    </xf>
    <xf numFmtId="0" fontId="36" fillId="24" borderId="0" xfId="0" applyFont="1" applyFill="1" applyAlignment="1">
      <alignment vertical="center" wrapText="1"/>
    </xf>
    <xf numFmtId="0" fontId="41" fillId="0" borderId="0" xfId="0" applyFont="1" applyAlignment="1">
      <alignment vertical="center" wrapText="1"/>
    </xf>
    <xf numFmtId="0" fontId="39" fillId="24" borderId="0" xfId="0" applyFont="1" applyFill="1" applyAlignment="1">
      <alignment horizontal="left" vertical="center"/>
    </xf>
    <xf numFmtId="49" fontId="34" fillId="24" borderId="0" xfId="0" applyNumberFormat="1" applyFont="1" applyFill="1">
      <alignment vertical="center"/>
    </xf>
    <xf numFmtId="0" fontId="36" fillId="24" borderId="0" xfId="0" applyFont="1" applyFill="1">
      <alignment vertical="center"/>
    </xf>
    <xf numFmtId="0" fontId="0" fillId="0" borderId="0" xfId="0" applyAlignment="1">
      <alignment horizontal="left" vertical="center"/>
    </xf>
    <xf numFmtId="0" fontId="75" fillId="24" borderId="0" xfId="99" applyFont="1" applyFill="1">
      <alignment vertical="center"/>
    </xf>
    <xf numFmtId="0" fontId="76" fillId="24" borderId="0" xfId="99" applyFont="1" applyFill="1">
      <alignment vertical="center"/>
    </xf>
    <xf numFmtId="0" fontId="78" fillId="24" borderId="0" xfId="99" applyFont="1" applyFill="1">
      <alignment vertical="center"/>
    </xf>
    <xf numFmtId="0" fontId="79" fillId="24" borderId="0" xfId="99" applyFont="1" applyFill="1">
      <alignment vertical="center"/>
    </xf>
    <xf numFmtId="0" fontId="80" fillId="0" borderId="0" xfId="99" applyFont="1">
      <alignment vertical="center"/>
    </xf>
    <xf numFmtId="0" fontId="82" fillId="24" borderId="0" xfId="99" applyFont="1" applyFill="1">
      <alignment vertical="center"/>
    </xf>
    <xf numFmtId="0" fontId="75" fillId="24" borderId="0" xfId="99" applyFont="1" applyFill="1" applyAlignment="1">
      <alignment vertical="top"/>
    </xf>
    <xf numFmtId="0" fontId="79" fillId="24" borderId="0" xfId="99" applyFont="1" applyFill="1" applyAlignment="1">
      <alignment vertical="top"/>
    </xf>
    <xf numFmtId="0" fontId="82" fillId="24" borderId="10" xfId="99" applyFont="1" applyFill="1" applyBorder="1" applyAlignment="1">
      <alignment horizontal="center" vertical="center" shrinkToFit="1"/>
    </xf>
    <xf numFmtId="0" fontId="82" fillId="24" borderId="10" xfId="99" applyFont="1" applyFill="1" applyBorder="1" applyAlignment="1">
      <alignment horizontal="center" vertical="center" wrapText="1" shrinkToFit="1"/>
    </xf>
    <xf numFmtId="0" fontId="80" fillId="24" borderId="0" xfId="99" applyFont="1" applyFill="1">
      <alignment vertical="center"/>
    </xf>
    <xf numFmtId="0" fontId="82" fillId="24" borderId="10" xfId="99" applyFont="1" applyFill="1" applyBorder="1" applyAlignment="1">
      <alignment vertical="center" wrapText="1"/>
    </xf>
    <xf numFmtId="0" fontId="76" fillId="24" borderId="10" xfId="99" applyFont="1" applyFill="1" applyBorder="1" applyAlignment="1">
      <alignment vertical="center" wrapText="1"/>
    </xf>
    <xf numFmtId="0" fontId="79" fillId="0" borderId="0" xfId="99" applyFont="1">
      <alignment vertical="center"/>
    </xf>
    <xf numFmtId="0" fontId="81" fillId="24" borderId="0" xfId="0" applyFont="1" applyFill="1">
      <alignment vertical="center"/>
    </xf>
    <xf numFmtId="0" fontId="85" fillId="0" borderId="0" xfId="99" applyFont="1">
      <alignment vertical="center"/>
    </xf>
    <xf numFmtId="0" fontId="86" fillId="0" borderId="0" xfId="99" applyFont="1">
      <alignment vertical="center"/>
    </xf>
    <xf numFmtId="0" fontId="87" fillId="24" borderId="0" xfId="0" applyFont="1" applyFill="1">
      <alignment vertical="center"/>
    </xf>
    <xf numFmtId="49" fontId="34" fillId="24" borderId="86" xfId="0" applyNumberFormat="1" applyFont="1" applyFill="1" applyBorder="1" applyAlignment="1">
      <alignment horizontal="center" vertical="center"/>
    </xf>
    <xf numFmtId="0" fontId="49" fillId="24" borderId="0" xfId="0" applyFont="1" applyFill="1" applyAlignment="1">
      <alignment horizontal="left" vertical="center"/>
    </xf>
    <xf numFmtId="0" fontId="32" fillId="0" borderId="70" xfId="0" applyFont="1" applyBorder="1" applyAlignment="1">
      <alignment horizontal="left" vertical="center" wrapText="1"/>
    </xf>
    <xf numFmtId="0" fontId="32" fillId="0" borderId="39" xfId="0" applyFont="1" applyBorder="1" applyAlignment="1">
      <alignment horizontal="left" vertical="center" wrapText="1"/>
    </xf>
    <xf numFmtId="0" fontId="45" fillId="24" borderId="0" xfId="0" applyFont="1" applyFill="1" applyAlignment="1">
      <alignment horizontal="left" vertical="center" wrapText="1"/>
    </xf>
    <xf numFmtId="0" fontId="43" fillId="0" borderId="0" xfId="0" applyFont="1" applyAlignment="1">
      <alignment horizontal="center" vertical="center"/>
    </xf>
    <xf numFmtId="177" fontId="32" fillId="0" borderId="16" xfId="28" applyNumberFormat="1" applyFont="1" applyBorder="1" applyAlignment="1">
      <alignment vertical="center" wrapText="1"/>
    </xf>
    <xf numFmtId="177" fontId="32" fillId="0" borderId="51" xfId="28" applyNumberFormat="1" applyFont="1" applyBorder="1" applyAlignment="1">
      <alignment vertical="center" wrapText="1"/>
    </xf>
    <xf numFmtId="0" fontId="48" fillId="0" borderId="0" xfId="0" applyFont="1">
      <alignment vertical="center"/>
    </xf>
    <xf numFmtId="0" fontId="32" fillId="0" borderId="0" xfId="0" applyFont="1" applyAlignment="1">
      <alignment horizontal="left" vertical="center" wrapText="1"/>
    </xf>
    <xf numFmtId="0" fontId="32" fillId="0" borderId="0" xfId="0" applyFont="1" applyAlignment="1">
      <alignment horizontal="left" vertical="center"/>
    </xf>
    <xf numFmtId="177" fontId="32" fillId="0" borderId="56" xfId="28" applyNumberFormat="1" applyFont="1" applyBorder="1" applyAlignment="1">
      <alignment vertical="center" wrapText="1"/>
    </xf>
    <xf numFmtId="177" fontId="32" fillId="0" borderId="57" xfId="28" applyNumberFormat="1" applyFont="1" applyBorder="1" applyAlignment="1">
      <alignment vertical="center" wrapText="1"/>
    </xf>
    <xf numFmtId="177" fontId="32" fillId="0" borderId="55" xfId="28" applyNumberFormat="1" applyFont="1" applyBorder="1" applyAlignment="1">
      <alignment vertical="center" wrapText="1"/>
    </xf>
    <xf numFmtId="0" fontId="32" fillId="0" borderId="56" xfId="0" applyFont="1" applyBorder="1" applyAlignment="1">
      <alignment horizontal="left" vertical="center" wrapText="1"/>
    </xf>
    <xf numFmtId="177" fontId="32" fillId="0" borderId="77" xfId="28" applyNumberFormat="1" applyFont="1" applyBorder="1" applyAlignment="1">
      <alignment vertical="center" wrapText="1"/>
    </xf>
    <xf numFmtId="0" fontId="42" fillId="0" borderId="0" xfId="0" applyFont="1" applyAlignment="1">
      <alignment horizontal="left" vertical="center"/>
    </xf>
    <xf numFmtId="0" fontId="35" fillId="24" borderId="0" xfId="48" applyFill="1" applyBorder="1" applyAlignment="1" applyProtection="1">
      <alignment horizontal="left" vertical="center"/>
      <protection locked="0"/>
    </xf>
    <xf numFmtId="0" fontId="69" fillId="24" borderId="0" xfId="48" applyFont="1" applyFill="1" applyBorder="1" applyAlignment="1" applyProtection="1">
      <alignment horizontal="left" vertical="center"/>
      <protection locked="0"/>
    </xf>
    <xf numFmtId="0" fontId="39" fillId="24" borderId="0" xfId="0" applyFont="1" applyFill="1">
      <alignment vertical="center"/>
    </xf>
    <xf numFmtId="0" fontId="52" fillId="24" borderId="71" xfId="0" applyFont="1" applyFill="1" applyBorder="1" applyAlignment="1">
      <alignment vertical="center" wrapText="1"/>
    </xf>
    <xf numFmtId="0" fontId="52" fillId="24" borderId="30" xfId="0" applyFont="1" applyFill="1" applyBorder="1" applyAlignment="1">
      <alignment vertical="center" wrapText="1"/>
    </xf>
    <xf numFmtId="0" fontId="52" fillId="24" borderId="78" xfId="0" applyFont="1" applyFill="1" applyBorder="1" applyAlignment="1">
      <alignment vertical="center" wrapText="1"/>
    </xf>
    <xf numFmtId="0" fontId="52" fillId="24" borderId="88" xfId="0" applyFont="1" applyFill="1" applyBorder="1" applyAlignment="1">
      <alignment vertical="center" wrapText="1"/>
    </xf>
    <xf numFmtId="0" fontId="52" fillId="24" borderId="78" xfId="0" applyFont="1" applyFill="1" applyBorder="1">
      <alignment vertical="center"/>
    </xf>
    <xf numFmtId="0" fontId="92" fillId="0" borderId="0" xfId="0" applyFont="1">
      <alignment vertical="center"/>
    </xf>
    <xf numFmtId="0" fontId="32" fillId="0" borderId="0" xfId="0" applyFont="1" applyAlignment="1">
      <alignment horizontal="center" vertical="center"/>
    </xf>
    <xf numFmtId="0" fontId="46" fillId="24" borderId="0" xfId="0" applyFont="1" applyFill="1" applyAlignment="1">
      <alignment horizontal="left" vertical="center"/>
    </xf>
    <xf numFmtId="0" fontId="37" fillId="25" borderId="50" xfId="0" applyFont="1" applyFill="1" applyBorder="1" applyAlignment="1" applyProtection="1">
      <alignment horizontal="center" vertical="center"/>
      <protection locked="0"/>
    </xf>
    <xf numFmtId="0" fontId="87" fillId="24" borderId="0" xfId="99" applyFont="1" applyFill="1">
      <alignment vertical="center"/>
    </xf>
    <xf numFmtId="0" fontId="81" fillId="24" borderId="0" xfId="99" applyFont="1" applyFill="1">
      <alignment vertical="center"/>
    </xf>
    <xf numFmtId="0" fontId="81" fillId="0" borderId="0" xfId="99" applyFont="1">
      <alignment vertical="center"/>
    </xf>
    <xf numFmtId="0" fontId="81" fillId="24" borderId="10" xfId="0" applyFont="1" applyFill="1" applyBorder="1" applyAlignment="1">
      <alignment horizontal="center" vertical="center"/>
    </xf>
    <xf numFmtId="0" fontId="81" fillId="24" borderId="0" xfId="0" applyFont="1" applyFill="1" applyAlignment="1">
      <alignment horizontal="center" vertical="center"/>
    </xf>
    <xf numFmtId="0" fontId="81" fillId="24" borderId="0" xfId="0" applyFont="1" applyFill="1" applyAlignment="1">
      <alignment vertical="center" wrapText="1"/>
    </xf>
    <xf numFmtId="0" fontId="42" fillId="24" borderId="10" xfId="0" applyFont="1" applyFill="1" applyBorder="1" applyAlignment="1" applyProtection="1">
      <alignment horizontal="center" vertical="center" wrapText="1"/>
      <protection locked="0"/>
    </xf>
    <xf numFmtId="0" fontId="85" fillId="24" borderId="0" xfId="99" applyFont="1" applyFill="1">
      <alignment vertical="center"/>
    </xf>
    <xf numFmtId="0" fontId="77" fillId="24" borderId="0" xfId="99" applyFont="1" applyFill="1">
      <alignment vertical="center"/>
    </xf>
    <xf numFmtId="0" fontId="40" fillId="24" borderId="0" xfId="0" applyFont="1" applyFill="1" applyAlignment="1">
      <alignment horizontal="left" vertical="center"/>
    </xf>
    <xf numFmtId="0" fontId="64" fillId="24" borderId="0" xfId="0" applyFont="1" applyFill="1">
      <alignment vertical="center"/>
    </xf>
    <xf numFmtId="0" fontId="94" fillId="24" borderId="0" xfId="0" applyFont="1" applyFill="1">
      <alignment vertical="center"/>
    </xf>
    <xf numFmtId="0" fontId="94" fillId="24" borderId="0" xfId="0" applyFont="1" applyFill="1" applyAlignment="1">
      <alignment horizontal="center" vertical="center"/>
    </xf>
    <xf numFmtId="0" fontId="44" fillId="24" borderId="0" xfId="0" applyFont="1" applyFill="1" applyAlignment="1"/>
    <xf numFmtId="0" fontId="45" fillId="0" borderId="13" xfId="0" applyFont="1" applyBorder="1">
      <alignment vertical="center"/>
    </xf>
    <xf numFmtId="0" fontId="45" fillId="24" borderId="90" xfId="0" applyFont="1" applyFill="1" applyBorder="1">
      <alignment vertical="center"/>
    </xf>
    <xf numFmtId="49" fontId="38" fillId="24" borderId="0" xfId="0" applyNumberFormat="1" applyFont="1" applyFill="1" applyAlignment="1">
      <alignment horizontal="left" vertical="center"/>
    </xf>
    <xf numFmtId="49" fontId="44" fillId="24" borderId="0" xfId="0" applyNumberFormat="1" applyFont="1" applyFill="1" applyAlignment="1">
      <alignment horizontal="left" vertical="center"/>
    </xf>
    <xf numFmtId="0" fontId="49" fillId="24" borderId="14" xfId="0" applyFont="1" applyFill="1" applyBorder="1" applyAlignment="1">
      <alignment horizontal="center" vertical="center"/>
    </xf>
    <xf numFmtId="0" fontId="49" fillId="0" borderId="92" xfId="0" applyFont="1" applyBorder="1">
      <alignment vertical="center"/>
    </xf>
    <xf numFmtId="0" fontId="49" fillId="0" borderId="11" xfId="0" applyFont="1" applyBorder="1">
      <alignment vertical="center"/>
    </xf>
    <xf numFmtId="0" fontId="49" fillId="24" borderId="12" xfId="0" applyFont="1" applyFill="1" applyBorder="1" applyAlignment="1">
      <alignment horizontal="center" vertical="center"/>
    </xf>
    <xf numFmtId="0" fontId="49" fillId="0" borderId="93" xfId="0" applyFont="1" applyBorder="1">
      <alignment vertical="center"/>
    </xf>
    <xf numFmtId="0" fontId="49" fillId="0" borderId="40" xfId="0" applyFont="1" applyBorder="1">
      <alignment vertical="center"/>
    </xf>
    <xf numFmtId="0" fontId="41" fillId="0" borderId="0" xfId="0" applyFont="1" applyAlignment="1">
      <alignment horizontal="center" vertical="center"/>
    </xf>
    <xf numFmtId="182" fontId="0" fillId="24" borderId="0" xfId="0" applyNumberFormat="1" applyFill="1">
      <alignment vertical="center"/>
    </xf>
    <xf numFmtId="0" fontId="49" fillId="24" borderId="0" xfId="0" applyFont="1" applyFill="1">
      <alignment vertical="center"/>
    </xf>
    <xf numFmtId="0" fontId="31" fillId="24" borderId="0" xfId="0" applyFont="1" applyFill="1">
      <alignment vertical="center"/>
    </xf>
    <xf numFmtId="0" fontId="31" fillId="24" borderId="0" xfId="0" applyFont="1" applyFill="1" applyAlignment="1">
      <alignment horizontal="center" vertical="top"/>
    </xf>
    <xf numFmtId="0" fontId="40" fillId="24" borderId="0" xfId="0" applyFont="1" applyFill="1" applyAlignment="1">
      <alignment horizontal="center" vertical="center"/>
    </xf>
    <xf numFmtId="0" fontId="48" fillId="24" borderId="0" xfId="0" applyFont="1" applyFill="1">
      <alignment vertical="center"/>
    </xf>
    <xf numFmtId="0" fontId="49" fillId="24" borderId="29" xfId="0" applyFont="1" applyFill="1" applyBorder="1">
      <alignment vertical="center"/>
    </xf>
    <xf numFmtId="0" fontId="49" fillId="0" borderId="29" xfId="0" applyFont="1" applyBorder="1">
      <alignment vertical="center"/>
    </xf>
    <xf numFmtId="0" fontId="44" fillId="25" borderId="50" xfId="0" applyFont="1" applyFill="1" applyBorder="1" applyAlignment="1">
      <alignment horizontal="center" vertical="center" wrapText="1"/>
    </xf>
    <xf numFmtId="0" fontId="31" fillId="0" borderId="12" xfId="0" applyFont="1" applyBorder="1" applyAlignment="1">
      <alignment horizontal="center" vertical="center"/>
    </xf>
    <xf numFmtId="0" fontId="31" fillId="24" borderId="78" xfId="0" applyFont="1" applyFill="1" applyBorder="1" applyAlignment="1">
      <alignment vertical="center" wrapText="1"/>
    </xf>
    <xf numFmtId="0" fontId="31" fillId="24" borderId="0" xfId="0" applyFont="1" applyFill="1" applyAlignment="1">
      <alignment vertical="center" wrapText="1"/>
    </xf>
    <xf numFmtId="49" fontId="47" fillId="24" borderId="0" xfId="0" applyNumberFormat="1" applyFont="1" applyFill="1">
      <alignment vertical="center"/>
    </xf>
    <xf numFmtId="0" fontId="42" fillId="24" borderId="0" xfId="0" applyFont="1" applyFill="1">
      <alignment vertical="center"/>
    </xf>
    <xf numFmtId="0" fontId="96" fillId="24" borderId="0" xfId="0" applyFont="1" applyFill="1" applyAlignment="1">
      <alignment horizontal="center" vertical="top" wrapText="1"/>
    </xf>
    <xf numFmtId="0" fontId="42" fillId="24" borderId="0" xfId="0" applyFont="1" applyFill="1" applyAlignment="1">
      <alignment horizontal="left" vertical="center"/>
    </xf>
    <xf numFmtId="0" fontId="44" fillId="0" borderId="0" xfId="0" applyFont="1">
      <alignment vertical="center"/>
    </xf>
    <xf numFmtId="0" fontId="49" fillId="0" borderId="0" xfId="0" applyFont="1">
      <alignment vertical="center"/>
    </xf>
    <xf numFmtId="0" fontId="51" fillId="24" borderId="0" xfId="0" applyFont="1" applyFill="1">
      <alignment vertical="center"/>
    </xf>
    <xf numFmtId="0" fontId="99" fillId="24" borderId="0" xfId="0" applyFont="1" applyFill="1">
      <alignment vertical="center"/>
    </xf>
    <xf numFmtId="0" fontId="46" fillId="24" borderId="0" xfId="0" applyFont="1" applyFill="1" applyProtection="1">
      <alignment vertical="center"/>
      <protection locked="0"/>
    </xf>
    <xf numFmtId="0" fontId="100" fillId="0" borderId="91" xfId="0" applyFont="1" applyBorder="1" applyAlignment="1" applyProtection="1">
      <alignment horizontal="center" vertical="center"/>
      <protection locked="0"/>
    </xf>
    <xf numFmtId="0" fontId="46" fillId="0" borderId="97" xfId="0" applyFont="1" applyBorder="1">
      <alignment vertical="center"/>
    </xf>
    <xf numFmtId="0" fontId="31" fillId="24" borderId="0" xfId="0" applyFont="1" applyFill="1" applyAlignment="1">
      <alignment horizontal="left" vertical="top"/>
    </xf>
    <xf numFmtId="0" fontId="41" fillId="25" borderId="50" xfId="0" applyFont="1" applyFill="1" applyBorder="1" applyAlignment="1">
      <alignment horizontal="center" vertical="center" wrapText="1"/>
    </xf>
    <xf numFmtId="0" fontId="42" fillId="24" borderId="0" xfId="0" applyFont="1" applyFill="1" applyAlignment="1">
      <alignment horizontal="center" vertical="center"/>
    </xf>
    <xf numFmtId="0" fontId="100" fillId="24" borderId="0" xfId="0" applyFont="1" applyFill="1">
      <alignment vertical="center"/>
    </xf>
    <xf numFmtId="0" fontId="41" fillId="24" borderId="0" xfId="0" applyFont="1" applyFill="1" applyAlignment="1">
      <alignment horizontal="left" vertical="center" wrapText="1"/>
    </xf>
    <xf numFmtId="49" fontId="40" fillId="24" borderId="0" xfId="0" applyNumberFormat="1" applyFont="1" applyFill="1" applyAlignment="1">
      <alignment horizontal="left" vertical="center" wrapText="1"/>
    </xf>
    <xf numFmtId="0" fontId="44" fillId="24" borderId="0" xfId="0" applyFont="1" applyFill="1" applyAlignment="1">
      <alignment horizontal="center" vertical="center"/>
    </xf>
    <xf numFmtId="49" fontId="42" fillId="24" borderId="0" xfId="0" applyNumberFormat="1" applyFont="1" applyFill="1" applyAlignment="1">
      <alignment horizontal="center" vertical="top"/>
    </xf>
    <xf numFmtId="49" fontId="40" fillId="24" borderId="17" xfId="0" applyNumberFormat="1" applyFont="1" applyFill="1" applyBorder="1" applyAlignment="1">
      <alignment horizontal="left" vertical="center" wrapText="1"/>
    </xf>
    <xf numFmtId="0" fontId="97" fillId="0" borderId="91" xfId="0" applyFont="1" applyBorder="1" applyAlignment="1">
      <alignment vertical="center" wrapText="1"/>
    </xf>
    <xf numFmtId="0" fontId="41" fillId="0" borderId="0" xfId="0" applyFont="1" applyAlignment="1">
      <alignment horizontal="left" vertical="center" wrapText="1"/>
    </xf>
    <xf numFmtId="0" fontId="46" fillId="24" borderId="0" xfId="0" applyFont="1" applyFill="1" applyAlignment="1">
      <alignment vertical="top"/>
    </xf>
    <xf numFmtId="0" fontId="101" fillId="24" borderId="0" xfId="0" applyFont="1" applyFill="1" applyAlignment="1">
      <alignment horizontal="center" vertical="center"/>
    </xf>
    <xf numFmtId="0" fontId="46" fillId="0" borderId="0" xfId="0" applyFont="1" applyAlignment="1">
      <alignment vertical="top"/>
    </xf>
    <xf numFmtId="0" fontId="102" fillId="24" borderId="0" xfId="0" applyFont="1" applyFill="1">
      <alignment vertical="center"/>
    </xf>
    <xf numFmtId="0" fontId="36" fillId="24" borderId="0" xfId="0" applyFont="1" applyFill="1" applyAlignment="1">
      <alignment vertical="top"/>
    </xf>
    <xf numFmtId="0" fontId="36" fillId="0" borderId="0" xfId="0" applyFont="1" applyAlignment="1">
      <alignment vertical="top"/>
    </xf>
    <xf numFmtId="49" fontId="40" fillId="24" borderId="0" xfId="0" applyNumberFormat="1" applyFont="1" applyFill="1" applyAlignment="1">
      <alignment horizontal="center" vertical="center"/>
    </xf>
    <xf numFmtId="0" fontId="46" fillId="0" borderId="0" xfId="0" applyFont="1" applyAlignment="1" applyProtection="1">
      <alignment vertical="top"/>
      <protection locked="0"/>
    </xf>
    <xf numFmtId="0" fontId="46" fillId="0" borderId="0" xfId="0" applyFont="1" applyProtection="1">
      <alignment vertical="center"/>
      <protection locked="0"/>
    </xf>
    <xf numFmtId="0" fontId="46" fillId="0" borderId="107" xfId="0" applyFont="1" applyBorder="1" applyProtection="1">
      <alignment vertical="center"/>
      <protection locked="0"/>
    </xf>
    <xf numFmtId="0" fontId="42" fillId="28" borderId="98" xfId="0" applyFont="1" applyFill="1" applyBorder="1" applyAlignment="1" applyProtection="1">
      <alignment horizontal="center" vertical="center" wrapText="1"/>
      <protection locked="0"/>
    </xf>
    <xf numFmtId="0" fontId="100" fillId="0" borderId="0" xfId="0" applyFont="1" applyAlignment="1" applyProtection="1">
      <alignment horizontal="center" vertical="center"/>
      <protection locked="0"/>
    </xf>
    <xf numFmtId="0" fontId="46" fillId="0" borderId="108" xfId="0" applyFont="1" applyBorder="1">
      <alignment vertical="center"/>
    </xf>
    <xf numFmtId="0" fontId="42" fillId="28" borderId="99" xfId="0" applyFont="1" applyFill="1" applyBorder="1" applyAlignment="1" applyProtection="1">
      <alignment horizontal="center" vertical="center" wrapText="1"/>
      <protection locked="0"/>
    </xf>
    <xf numFmtId="0" fontId="50" fillId="24" borderId="0" xfId="0" applyFont="1" applyFill="1">
      <alignment vertical="center"/>
    </xf>
    <xf numFmtId="0" fontId="42" fillId="28" borderId="78" xfId="0" applyFont="1" applyFill="1" applyBorder="1" applyAlignment="1" applyProtection="1">
      <alignment horizontal="center" vertical="center" wrapText="1"/>
      <protection locked="0"/>
    </xf>
    <xf numFmtId="0" fontId="42" fillId="28" borderId="105" xfId="0" applyFont="1" applyFill="1" applyBorder="1" applyAlignment="1" applyProtection="1">
      <alignment horizontal="center" vertical="center" wrapText="1"/>
      <protection locked="0"/>
    </xf>
    <xf numFmtId="0" fontId="49" fillId="24" borderId="0" xfId="0" applyFont="1" applyFill="1" applyAlignment="1">
      <alignment horizontal="center" vertical="top"/>
    </xf>
    <xf numFmtId="0" fontId="40" fillId="24" borderId="0" xfId="0" applyFont="1" applyFill="1" applyAlignment="1">
      <alignment horizontal="left" vertical="top"/>
    </xf>
    <xf numFmtId="0" fontId="42" fillId="24" borderId="0" xfId="0" applyFont="1" applyFill="1" applyAlignment="1">
      <alignment horizontal="right" vertical="top" wrapText="1"/>
    </xf>
    <xf numFmtId="0" fontId="42" fillId="24" borderId="0" xfId="0" applyFont="1" applyFill="1" applyAlignment="1">
      <alignment horizontal="left" vertical="center" wrapText="1"/>
    </xf>
    <xf numFmtId="0" fontId="52" fillId="24" borderId="74" xfId="0" applyFont="1" applyFill="1" applyBorder="1" applyAlignment="1">
      <alignment vertical="center" wrapText="1"/>
    </xf>
    <xf numFmtId="0" fontId="52" fillId="24" borderId="0" xfId="0" applyFont="1" applyFill="1">
      <alignment vertical="center"/>
    </xf>
    <xf numFmtId="0" fontId="52" fillId="24" borderId="0" xfId="0" applyFont="1" applyFill="1" applyAlignment="1">
      <alignment vertical="center" shrinkToFit="1"/>
    </xf>
    <xf numFmtId="0" fontId="52" fillId="24" borderId="88" xfId="0" applyFont="1" applyFill="1" applyBorder="1" applyAlignment="1">
      <alignment vertical="center" shrinkToFit="1"/>
    </xf>
    <xf numFmtId="0" fontId="53" fillId="24" borderId="0" xfId="0" applyFont="1" applyFill="1">
      <alignment vertical="center"/>
    </xf>
    <xf numFmtId="0" fontId="54" fillId="24" borderId="0" xfId="0" applyFont="1" applyFill="1">
      <alignment vertical="center"/>
    </xf>
    <xf numFmtId="0" fontId="54" fillId="24" borderId="88" xfId="0" applyFont="1" applyFill="1" applyBorder="1">
      <alignment vertical="center"/>
    </xf>
    <xf numFmtId="0" fontId="55" fillId="24" borderId="75" xfId="0" applyFont="1" applyFill="1" applyBorder="1">
      <alignment vertical="center"/>
    </xf>
    <xf numFmtId="0" fontId="53" fillId="24" borderId="76" xfId="0" applyFont="1" applyFill="1" applyBorder="1">
      <alignment vertical="center"/>
    </xf>
    <xf numFmtId="0" fontId="55" fillId="24" borderId="76" xfId="0" applyFont="1" applyFill="1" applyBorder="1">
      <alignment vertical="center"/>
    </xf>
    <xf numFmtId="0" fontId="55" fillId="24" borderId="76" xfId="0" applyFont="1" applyFill="1" applyBorder="1" applyAlignment="1">
      <alignment horizontal="center" vertical="center"/>
    </xf>
    <xf numFmtId="0" fontId="65" fillId="24" borderId="76" xfId="0" applyFont="1" applyFill="1" applyBorder="1" applyAlignment="1">
      <alignment vertical="center" shrinkToFit="1"/>
    </xf>
    <xf numFmtId="0" fontId="53" fillId="24" borderId="76" xfId="0" applyFont="1" applyFill="1" applyBorder="1" applyAlignment="1">
      <alignment horizontal="center" vertical="center"/>
    </xf>
    <xf numFmtId="0" fontId="53" fillId="24" borderId="89" xfId="0" applyFont="1" applyFill="1" applyBorder="1">
      <alignment vertical="center"/>
    </xf>
    <xf numFmtId="0" fontId="55" fillId="24" borderId="0" xfId="0" applyFont="1" applyFill="1" applyAlignment="1">
      <alignment horizontal="center" vertical="center"/>
    </xf>
    <xf numFmtId="0" fontId="65" fillId="24" borderId="0" xfId="0" applyFont="1" applyFill="1" applyAlignment="1">
      <alignment vertical="center" shrinkToFit="1"/>
    </xf>
    <xf numFmtId="0" fontId="53" fillId="24" borderId="0" xfId="0" applyFont="1" applyFill="1" applyAlignment="1">
      <alignment horizontal="center" vertical="center"/>
    </xf>
    <xf numFmtId="0" fontId="31" fillId="0" borderId="0" xfId="0" applyFont="1">
      <alignment vertical="center"/>
    </xf>
    <xf numFmtId="0" fontId="50" fillId="25" borderId="10" xfId="0" applyFont="1" applyFill="1" applyBorder="1" applyAlignment="1">
      <alignment horizontal="center" vertical="center"/>
    </xf>
    <xf numFmtId="0" fontId="31" fillId="0" borderId="109" xfId="0" quotePrefix="1" applyFont="1" applyBorder="1">
      <alignment vertical="center"/>
    </xf>
    <xf numFmtId="0" fontId="103" fillId="24" borderId="0" xfId="0" applyFont="1" applyFill="1">
      <alignment vertical="center"/>
    </xf>
    <xf numFmtId="0" fontId="0" fillId="0" borderId="114" xfId="0" applyBorder="1" applyAlignment="1">
      <alignment horizontal="center" vertical="center"/>
    </xf>
    <xf numFmtId="0" fontId="0" fillId="0" borderId="115" xfId="0" applyBorder="1" applyAlignment="1">
      <alignment horizontal="center" vertical="center"/>
    </xf>
    <xf numFmtId="0" fontId="106" fillId="24" borderId="0" xfId="0" applyFont="1" applyFill="1">
      <alignment vertical="center"/>
    </xf>
    <xf numFmtId="0" fontId="34" fillId="24" borderId="0" xfId="0" applyFont="1" applyFill="1" applyAlignment="1">
      <alignment vertical="center" shrinkToFit="1"/>
    </xf>
    <xf numFmtId="0" fontId="34" fillId="24" borderId="0" xfId="0" applyFont="1" applyFill="1" applyAlignment="1">
      <alignment horizontal="left" vertical="center"/>
    </xf>
    <xf numFmtId="0" fontId="43" fillId="24" borderId="0" xfId="0" applyFont="1" applyFill="1">
      <alignment vertical="center"/>
    </xf>
    <xf numFmtId="0" fontId="56" fillId="24" borderId="0" xfId="0" applyFont="1" applyFill="1" applyAlignment="1">
      <alignment vertical="center" shrinkToFit="1"/>
    </xf>
    <xf numFmtId="0" fontId="56" fillId="24" borderId="0" xfId="0" applyFont="1" applyFill="1">
      <alignment vertical="center"/>
    </xf>
    <xf numFmtId="0" fontId="107" fillId="24" borderId="0" xfId="0" applyFont="1" applyFill="1">
      <alignment vertical="center"/>
    </xf>
    <xf numFmtId="0" fontId="108" fillId="24" borderId="0" xfId="0" applyFont="1" applyFill="1">
      <alignment vertical="center"/>
    </xf>
    <xf numFmtId="0" fontId="110" fillId="0" borderId="0" xfId="0" applyFont="1" applyAlignment="1">
      <alignment horizontal="center" vertical="center" wrapText="1"/>
    </xf>
    <xf numFmtId="0" fontId="110" fillId="24" borderId="0" xfId="0" applyFont="1" applyFill="1" applyAlignment="1">
      <alignment horizontal="center" vertical="center" wrapText="1"/>
    </xf>
    <xf numFmtId="0" fontId="111" fillId="0" borderId="0" xfId="0" applyFont="1">
      <alignment vertical="center"/>
    </xf>
    <xf numFmtId="0" fontId="111" fillId="0" borderId="0" xfId="0" applyFont="1" applyAlignment="1">
      <alignment vertical="center" wrapText="1"/>
    </xf>
    <xf numFmtId="0" fontId="95" fillId="24" borderId="0" xfId="0" applyFont="1" applyFill="1">
      <alignment vertical="center"/>
    </xf>
    <xf numFmtId="0" fontId="112" fillId="24" borderId="0" xfId="0" applyFont="1" applyFill="1" applyAlignment="1">
      <alignment vertical="center" shrinkToFit="1"/>
    </xf>
    <xf numFmtId="0" fontId="112" fillId="24" borderId="0" xfId="0" applyFont="1" applyFill="1">
      <alignment vertical="center"/>
    </xf>
    <xf numFmtId="0" fontId="112" fillId="24" borderId="0" xfId="0" applyFont="1" applyFill="1" applyAlignment="1">
      <alignment horizontal="left" vertical="center"/>
    </xf>
    <xf numFmtId="0" fontId="93" fillId="24" borderId="0" xfId="0" applyFont="1" applyFill="1">
      <alignment vertical="center"/>
    </xf>
    <xf numFmtId="0" fontId="56" fillId="24" borderId="0" xfId="0" applyFont="1" applyFill="1" applyAlignment="1">
      <alignment horizontal="right" vertical="center"/>
    </xf>
    <xf numFmtId="0" fontId="34" fillId="24" borderId="0" xfId="0" applyFont="1" applyFill="1" applyAlignment="1">
      <alignment horizontal="center" vertical="center"/>
    </xf>
    <xf numFmtId="0" fontId="66" fillId="0" borderId="0" xfId="0" applyFont="1" applyAlignment="1">
      <alignment horizontal="center" vertical="center"/>
    </xf>
    <xf numFmtId="0" fontId="39" fillId="24" borderId="0" xfId="0" applyFont="1" applyFill="1" applyAlignment="1">
      <alignment horizontal="center" vertical="center" shrinkToFit="1"/>
    </xf>
    <xf numFmtId="0" fontId="39" fillId="24" borderId="0" xfId="0" applyFont="1" applyFill="1" applyAlignment="1">
      <alignment horizontal="left" vertical="center" shrinkToFit="1"/>
    </xf>
    <xf numFmtId="0" fontId="93" fillId="24" borderId="0" xfId="0" applyFont="1" applyFill="1" applyAlignment="1">
      <alignment vertical="center" wrapText="1"/>
    </xf>
    <xf numFmtId="49" fontId="36" fillId="24" borderId="10" xfId="0" applyNumberFormat="1" applyFont="1" applyFill="1" applyBorder="1">
      <alignment vertical="center"/>
    </xf>
    <xf numFmtId="49" fontId="56" fillId="24" borderId="0" xfId="0" applyNumberFormat="1" applyFont="1" applyFill="1">
      <alignment vertical="center"/>
    </xf>
    <xf numFmtId="0" fontId="93" fillId="0" borderId="0" xfId="0" applyFont="1" applyAlignment="1">
      <alignment vertical="center" wrapText="1"/>
    </xf>
    <xf numFmtId="0" fontId="0" fillId="24" borderId="44" xfId="0" applyFill="1" applyBorder="1" applyAlignment="1">
      <alignment horizontal="left" vertical="center"/>
    </xf>
    <xf numFmtId="0" fontId="107" fillId="29" borderId="0" xfId="0" applyFont="1" applyFill="1" applyAlignment="1">
      <alignment vertical="center" wrapText="1"/>
    </xf>
    <xf numFmtId="0" fontId="114" fillId="24" borderId="0" xfId="0" applyFont="1" applyFill="1" applyAlignment="1">
      <alignment horizontal="center" vertical="center" shrinkToFit="1"/>
    </xf>
    <xf numFmtId="0" fontId="56" fillId="24" borderId="0" xfId="0" applyFont="1" applyFill="1" applyAlignment="1">
      <alignment vertical="center" wrapText="1"/>
    </xf>
    <xf numFmtId="0" fontId="0" fillId="24" borderId="0" xfId="0" applyFill="1" applyAlignment="1">
      <alignment vertical="center" shrinkToFit="1"/>
    </xf>
    <xf numFmtId="0" fontId="0" fillId="24" borderId="0" xfId="0" applyFill="1" applyAlignment="1">
      <alignment horizontal="left" vertical="center"/>
    </xf>
    <xf numFmtId="0" fontId="114" fillId="24" borderId="0" xfId="0" applyFont="1" applyFill="1">
      <alignment vertical="center"/>
    </xf>
    <xf numFmtId="0" fontId="115" fillId="25" borderId="50" xfId="0" applyFont="1" applyFill="1" applyBorder="1" applyAlignment="1">
      <alignment horizontal="center" vertical="center" wrapText="1"/>
    </xf>
    <xf numFmtId="0" fontId="111" fillId="24" borderId="0" xfId="0" applyFont="1" applyFill="1">
      <alignment vertical="center"/>
    </xf>
    <xf numFmtId="0" fontId="36" fillId="0" borderId="0" xfId="0" applyFont="1" applyAlignment="1">
      <alignment horizontal="center" vertical="center" wrapText="1"/>
    </xf>
    <xf numFmtId="0" fontId="116" fillId="0" borderId="0" xfId="0" applyFont="1" applyAlignment="1">
      <alignment horizontal="center" vertical="center" wrapText="1"/>
    </xf>
    <xf numFmtId="0" fontId="43" fillId="24" borderId="13" xfId="0" applyFont="1" applyFill="1" applyBorder="1" applyAlignment="1">
      <alignment horizontal="center" vertical="center" wrapText="1" shrinkToFit="1"/>
    </xf>
    <xf numFmtId="0" fontId="56" fillId="0" borderId="28" xfId="0" applyFont="1" applyBorder="1" applyAlignment="1">
      <alignment horizontal="center" vertical="center" wrapText="1"/>
    </xf>
    <xf numFmtId="0" fontId="56" fillId="0" borderId="24" xfId="0" applyFont="1" applyBorder="1" applyAlignment="1">
      <alignment horizontal="center" vertical="center" wrapText="1"/>
    </xf>
    <xf numFmtId="0" fontId="56" fillId="0" borderId="31" xfId="0" applyFont="1" applyBorder="1" applyAlignment="1">
      <alignment horizontal="center" vertical="center" wrapText="1"/>
    </xf>
    <xf numFmtId="0" fontId="56" fillId="0" borderId="34" xfId="0" applyFont="1" applyBorder="1" applyAlignment="1">
      <alignment horizontal="center" vertical="center" wrapText="1"/>
    </xf>
    <xf numFmtId="0" fontId="66" fillId="0" borderId="91" xfId="0" applyFont="1" applyBorder="1" applyAlignment="1">
      <alignment vertical="center" wrapText="1"/>
    </xf>
    <xf numFmtId="0" fontId="66" fillId="0" borderId="95" xfId="0" applyFont="1" applyBorder="1" applyAlignment="1">
      <alignment vertical="center" wrapText="1"/>
    </xf>
    <xf numFmtId="0" fontId="66" fillId="0" borderId="94" xfId="0" applyFont="1" applyBorder="1" applyAlignment="1">
      <alignment vertical="center" wrapText="1"/>
    </xf>
    <xf numFmtId="0" fontId="114" fillId="0" borderId="91" xfId="0" applyFont="1" applyBorder="1" applyAlignment="1">
      <alignment horizontal="center" vertical="center" wrapText="1"/>
    </xf>
    <xf numFmtId="0" fontId="37" fillId="0" borderId="78" xfId="0" applyFont="1" applyBorder="1" applyAlignment="1">
      <alignment horizontal="left" vertical="top" wrapText="1"/>
    </xf>
    <xf numFmtId="184" fontId="0" fillId="0" borderId="0" xfId="0" applyNumberFormat="1">
      <alignment vertical="center"/>
    </xf>
    <xf numFmtId="0" fontId="56" fillId="0" borderId="0" xfId="0" applyFont="1" applyProtection="1">
      <alignment vertical="center"/>
      <protection locked="0"/>
    </xf>
    <xf numFmtId="0" fontId="56" fillId="0" borderId="0" xfId="0" applyFont="1" applyAlignment="1" applyProtection="1">
      <alignment vertical="center" shrinkToFit="1"/>
      <protection locked="0"/>
    </xf>
    <xf numFmtId="0" fontId="36" fillId="0" borderId="0" xfId="0" applyFont="1" applyProtection="1">
      <alignment vertical="center"/>
      <protection locked="0"/>
    </xf>
    <xf numFmtId="0" fontId="56" fillId="0" borderId="0" xfId="0" applyFont="1" applyAlignment="1" applyProtection="1">
      <alignment horizontal="right" vertical="center"/>
      <protection locked="0"/>
    </xf>
    <xf numFmtId="0" fontId="0" fillId="0" borderId="0" xfId="0" applyAlignment="1" applyProtection="1">
      <alignment vertical="center" wrapText="1"/>
      <protection locked="0"/>
    </xf>
    <xf numFmtId="0" fontId="0" fillId="0" borderId="0" xfId="0" applyAlignment="1">
      <alignment vertical="center" shrinkToFit="1"/>
    </xf>
    <xf numFmtId="0" fontId="32" fillId="0" borderId="55" xfId="0" applyFont="1" applyBorder="1" applyAlignment="1">
      <alignment horizontal="center" vertical="center"/>
    </xf>
    <xf numFmtId="0" fontId="32" fillId="0" borderId="57" xfId="0" applyFont="1" applyBorder="1" applyAlignment="1">
      <alignment horizontal="center" vertical="center"/>
    </xf>
    <xf numFmtId="0" fontId="32" fillId="0" borderId="60" xfId="43" applyFont="1" applyBorder="1" applyAlignment="1">
      <alignment horizontal="left" vertical="center" wrapText="1"/>
    </xf>
    <xf numFmtId="177" fontId="32" fillId="0" borderId="18" xfId="50" applyNumberFormat="1" applyFont="1" applyBorder="1" applyAlignment="1">
      <alignment vertical="center" wrapText="1"/>
    </xf>
    <xf numFmtId="0" fontId="32" fillId="0" borderId="39" xfId="43" applyFont="1" applyBorder="1" applyAlignment="1">
      <alignment horizontal="left" vertical="center" wrapText="1"/>
    </xf>
    <xf numFmtId="0" fontId="32" fillId="0" borderId="19" xfId="28" applyNumberFormat="1" applyFont="1" applyFill="1" applyBorder="1" applyAlignment="1">
      <alignment horizontal="center" vertical="center" wrapText="1"/>
    </xf>
    <xf numFmtId="0" fontId="32" fillId="0" borderId="56" xfId="43" applyFont="1" applyBorder="1" applyAlignment="1">
      <alignment horizontal="left" vertical="center" wrapText="1"/>
    </xf>
    <xf numFmtId="177" fontId="32" fillId="0" borderId="11" xfId="50" applyNumberFormat="1" applyFont="1" applyBorder="1" applyAlignment="1">
      <alignment vertical="center" wrapText="1"/>
    </xf>
    <xf numFmtId="0" fontId="32" fillId="0" borderId="87" xfId="0" applyFont="1" applyBorder="1" applyAlignment="1">
      <alignment vertical="center" wrapText="1"/>
    </xf>
    <xf numFmtId="0" fontId="32" fillId="0" borderId="33" xfId="43" applyFont="1" applyBorder="1" applyAlignment="1">
      <alignment horizontal="left" vertical="center" wrapText="1"/>
    </xf>
    <xf numFmtId="0" fontId="32" fillId="0" borderId="20" xfId="28" applyNumberFormat="1" applyFont="1" applyFill="1" applyBorder="1" applyAlignment="1">
      <alignment horizontal="center" vertical="center" wrapText="1"/>
    </xf>
    <xf numFmtId="0" fontId="32" fillId="0" borderId="33" xfId="0" applyFont="1" applyBorder="1">
      <alignment vertical="center"/>
    </xf>
    <xf numFmtId="0" fontId="98" fillId="0" borderId="0" xfId="0" applyFont="1" applyAlignment="1">
      <alignment horizontal="center" vertical="center"/>
    </xf>
    <xf numFmtId="0" fontId="44" fillId="24" borderId="0" xfId="0" applyFont="1" applyFill="1" applyAlignment="1">
      <alignment horizontal="center" vertical="center" wrapText="1"/>
    </xf>
    <xf numFmtId="177" fontId="32" fillId="0" borderId="0" xfId="28" applyNumberFormat="1" applyFont="1" applyBorder="1" applyAlignment="1">
      <alignment vertical="center" wrapText="1"/>
    </xf>
    <xf numFmtId="49" fontId="32" fillId="0" borderId="70" xfId="0" applyNumberFormat="1" applyFont="1" applyBorder="1">
      <alignment vertical="center"/>
    </xf>
    <xf numFmtId="49" fontId="32" fillId="0" borderId="33" xfId="0" applyNumberFormat="1" applyFont="1" applyBorder="1">
      <alignment vertical="center"/>
    </xf>
    <xf numFmtId="0" fontId="32" fillId="0" borderId="82" xfId="0" applyFont="1" applyBorder="1" applyAlignment="1">
      <alignment horizontal="center" vertical="center"/>
    </xf>
    <xf numFmtId="0" fontId="32" fillId="0" borderId="81" xfId="43" applyFont="1" applyBorder="1" applyAlignment="1">
      <alignment horizontal="center" vertical="center" wrapText="1"/>
    </xf>
    <xf numFmtId="0" fontId="56" fillId="0" borderId="51" xfId="0" applyFont="1" applyBorder="1" applyAlignment="1">
      <alignment horizontal="center" vertical="center" wrapText="1"/>
    </xf>
    <xf numFmtId="0" fontId="56" fillId="24" borderId="62" xfId="0" applyFont="1" applyFill="1" applyBorder="1" applyAlignment="1">
      <alignment horizontal="center" vertical="center" wrapText="1"/>
    </xf>
    <xf numFmtId="0" fontId="56" fillId="0" borderId="82" xfId="0" applyFont="1" applyBorder="1" applyAlignment="1">
      <alignment horizontal="center" vertical="center" wrapText="1"/>
    </xf>
    <xf numFmtId="0" fontId="56" fillId="24" borderId="23" xfId="0" applyFont="1" applyFill="1" applyBorder="1" applyAlignment="1">
      <alignment horizontal="center" vertical="center" wrapText="1"/>
    </xf>
    <xf numFmtId="0" fontId="64" fillId="30" borderId="81" xfId="0" applyFont="1" applyFill="1" applyBorder="1" applyAlignment="1" applyProtection="1">
      <alignment horizontal="center" vertical="center" shrinkToFit="1"/>
      <protection locked="0"/>
    </xf>
    <xf numFmtId="176" fontId="56" fillId="24" borderId="10" xfId="0" applyNumberFormat="1" applyFont="1" applyFill="1" applyBorder="1" applyAlignment="1">
      <alignment vertical="center" shrinkToFit="1"/>
    </xf>
    <xf numFmtId="38" fontId="39" fillId="27" borderId="10" xfId="34" applyFont="1" applyFill="1" applyBorder="1" applyAlignment="1" applyProtection="1">
      <alignment horizontal="center" vertical="center" wrapText="1"/>
      <protection locked="0"/>
    </xf>
    <xf numFmtId="0" fontId="42" fillId="0" borderId="44" xfId="0" applyFont="1" applyBorder="1" applyAlignment="1">
      <alignment horizontal="center" vertical="center" wrapText="1"/>
    </xf>
    <xf numFmtId="0" fontId="42" fillId="27" borderId="10" xfId="0" applyFont="1" applyFill="1" applyBorder="1" applyAlignment="1" applyProtection="1">
      <alignment vertical="center" wrapText="1"/>
      <protection locked="0"/>
    </xf>
    <xf numFmtId="38" fontId="39" fillId="0" borderId="11" xfId="34" applyFont="1" applyFill="1" applyBorder="1" applyAlignment="1" applyProtection="1">
      <alignment vertical="center" shrinkToFit="1"/>
      <protection locked="0"/>
    </xf>
    <xf numFmtId="0" fontId="42" fillId="27" borderId="42" xfId="0" applyFont="1" applyFill="1" applyBorder="1" applyAlignment="1" applyProtection="1">
      <alignment vertical="center" wrapText="1"/>
      <protection locked="0"/>
    </xf>
    <xf numFmtId="0" fontId="42" fillId="24" borderId="42" xfId="0" applyFont="1" applyFill="1" applyBorder="1" applyAlignment="1" applyProtection="1">
      <alignment horizontal="center" vertical="center" wrapText="1"/>
      <protection locked="0"/>
    </xf>
    <xf numFmtId="38" fontId="39" fillId="27" borderId="20" xfId="34" applyFont="1" applyFill="1" applyBorder="1" applyAlignment="1" applyProtection="1">
      <alignment vertical="center" shrinkToFit="1"/>
      <protection locked="0"/>
    </xf>
    <xf numFmtId="0" fontId="42" fillId="24" borderId="24" xfId="0" applyFont="1" applyFill="1" applyBorder="1" applyAlignment="1" applyProtection="1">
      <alignment horizontal="center" vertical="center" wrapText="1"/>
      <protection locked="0"/>
    </xf>
    <xf numFmtId="38" fontId="39" fillId="27" borderId="24" xfId="34" applyFont="1" applyFill="1" applyBorder="1" applyAlignment="1" applyProtection="1">
      <alignment horizontal="center" vertical="center" wrapText="1"/>
      <protection locked="0"/>
    </xf>
    <xf numFmtId="38" fontId="39" fillId="27" borderId="23" xfId="34" applyFont="1" applyFill="1" applyBorder="1" applyAlignment="1" applyProtection="1">
      <alignment vertical="center" shrinkToFit="1"/>
      <protection locked="0"/>
    </xf>
    <xf numFmtId="0" fontId="32" fillId="0" borderId="32" xfId="28" applyNumberFormat="1" applyFont="1" applyBorder="1" applyAlignment="1">
      <alignment horizontal="center" vertical="center" wrapText="1"/>
    </xf>
    <xf numFmtId="0" fontId="32" fillId="0" borderId="24" xfId="28" applyNumberFormat="1" applyFont="1" applyBorder="1" applyAlignment="1">
      <alignment horizontal="center" vertical="center" wrapText="1"/>
    </xf>
    <xf numFmtId="177" fontId="32" fillId="0" borderId="10" xfId="28" applyNumberFormat="1" applyFont="1" applyBorder="1" applyAlignment="1">
      <alignment horizontal="right" vertical="center" wrapText="1"/>
    </xf>
    <xf numFmtId="0" fontId="36" fillId="24" borderId="0" xfId="0" applyFont="1" applyFill="1" applyAlignment="1">
      <alignment horizontal="left" vertical="center" wrapText="1"/>
    </xf>
    <xf numFmtId="0" fontId="56" fillId="0" borderId="0" xfId="0" applyFont="1" applyAlignment="1">
      <alignment horizontal="center" vertical="center" wrapText="1"/>
    </xf>
    <xf numFmtId="0" fontId="39" fillId="0" borderId="39" xfId="0" applyFont="1" applyBorder="1" applyAlignment="1">
      <alignment vertical="center" wrapText="1"/>
    </xf>
    <xf numFmtId="0" fontId="34" fillId="0" borderId="42" xfId="0" applyFont="1" applyBorder="1" applyAlignment="1">
      <alignment vertical="center" wrapText="1"/>
    </xf>
    <xf numFmtId="0" fontId="39" fillId="24" borderId="64" xfId="0" applyFont="1" applyFill="1" applyBorder="1">
      <alignment vertical="center"/>
    </xf>
    <xf numFmtId="176" fontId="43" fillId="24" borderId="82" xfId="0" applyNumberFormat="1" applyFont="1" applyFill="1" applyBorder="1">
      <alignment vertical="center"/>
    </xf>
    <xf numFmtId="176" fontId="43" fillId="24" borderId="81" xfId="0" applyNumberFormat="1" applyFont="1" applyFill="1" applyBorder="1">
      <alignment vertical="center"/>
    </xf>
    <xf numFmtId="0" fontId="39" fillId="0" borderId="30" xfId="0" applyFont="1" applyBorder="1" applyProtection="1">
      <alignment vertical="center"/>
      <protection locked="0"/>
    </xf>
    <xf numFmtId="0" fontId="39" fillId="24" borderId="30" xfId="0" applyFont="1" applyFill="1" applyBorder="1">
      <alignment vertical="center"/>
    </xf>
    <xf numFmtId="0" fontId="39" fillId="24" borderId="63" xfId="0" applyFont="1" applyFill="1" applyBorder="1">
      <alignment vertical="center"/>
    </xf>
    <xf numFmtId="0" fontId="109" fillId="24" borderId="0" xfId="0" applyFont="1" applyFill="1" applyAlignment="1">
      <alignment vertical="center" wrapText="1"/>
    </xf>
    <xf numFmtId="0" fontId="115" fillId="25" borderId="50" xfId="0" applyFont="1" applyFill="1" applyBorder="1" applyAlignment="1">
      <alignment horizontal="center" vertical="center" wrapText="1" shrinkToFit="1"/>
    </xf>
    <xf numFmtId="0" fontId="0" fillId="24" borderId="0" xfId="0" applyFill="1" applyAlignment="1">
      <alignment horizontal="center" vertical="center"/>
    </xf>
    <xf numFmtId="0" fontId="0" fillId="0" borderId="0" xfId="0" applyAlignment="1" applyProtection="1">
      <alignment horizontal="center" vertical="center"/>
      <protection locked="0"/>
    </xf>
    <xf numFmtId="0" fontId="108" fillId="24" borderId="0" xfId="0" applyFont="1" applyFill="1" applyAlignment="1">
      <alignment vertical="center" wrapText="1"/>
    </xf>
    <xf numFmtId="0" fontId="56" fillId="0" borderId="0" xfId="0" applyFont="1" applyAlignment="1">
      <alignment vertical="center" wrapText="1"/>
    </xf>
    <xf numFmtId="177" fontId="32" fillId="0" borderId="29" xfId="28" applyNumberFormat="1" applyFont="1" applyBorder="1" applyAlignment="1">
      <alignment vertical="center" wrapText="1"/>
    </xf>
    <xf numFmtId="176" fontId="119" fillId="0" borderId="58" xfId="0" applyNumberFormat="1" applyFont="1" applyBorder="1" applyAlignment="1" applyProtection="1">
      <alignment horizontal="center" vertical="center" shrinkToFit="1"/>
      <protection locked="0"/>
    </xf>
    <xf numFmtId="176" fontId="119" fillId="0" borderId="58" xfId="0" applyNumberFormat="1" applyFont="1" applyBorder="1" applyAlignment="1" applyProtection="1">
      <alignment horizontal="center" vertical="center" wrapText="1" shrinkToFit="1"/>
      <protection locked="0"/>
    </xf>
    <xf numFmtId="176" fontId="39" fillId="0" borderId="63" xfId="0" applyNumberFormat="1" applyFont="1" applyBorder="1" applyAlignment="1" applyProtection="1">
      <alignment horizontal="center" vertical="center" wrapText="1" shrinkToFit="1"/>
      <protection locked="0"/>
    </xf>
    <xf numFmtId="49" fontId="36" fillId="24" borderId="0" xfId="0" applyNumberFormat="1" applyFont="1" applyFill="1">
      <alignment vertical="center"/>
    </xf>
    <xf numFmtId="183" fontId="56" fillId="24" borderId="50" xfId="0" applyNumberFormat="1" applyFont="1" applyFill="1" applyBorder="1">
      <alignment vertical="center"/>
    </xf>
    <xf numFmtId="0" fontId="117" fillId="0" borderId="0" xfId="0" applyFont="1" applyAlignment="1">
      <alignment horizontal="center" vertical="center" wrapText="1"/>
    </xf>
    <xf numFmtId="0" fontId="0" fillId="0" borderId="22" xfId="0" applyBorder="1" applyAlignment="1">
      <alignment vertical="center" wrapText="1" shrinkToFit="1"/>
    </xf>
    <xf numFmtId="0" fontId="0" fillId="0" borderId="50" xfId="0" applyBorder="1" applyAlignment="1">
      <alignment vertical="center" wrapText="1" shrinkToFit="1"/>
    </xf>
    <xf numFmtId="176" fontId="121" fillId="0" borderId="82" xfId="0" applyNumberFormat="1" applyFont="1" applyBorder="1" applyAlignment="1" applyProtection="1">
      <alignment horizontal="center" vertical="center" wrapText="1" shrinkToFit="1"/>
      <protection locked="0"/>
    </xf>
    <xf numFmtId="0" fontId="39" fillId="0" borderId="75" xfId="0" applyFont="1" applyBorder="1" applyAlignment="1">
      <alignment vertical="center" wrapText="1"/>
    </xf>
    <xf numFmtId="0" fontId="34" fillId="0" borderId="67" xfId="0" applyFont="1" applyBorder="1" applyAlignment="1">
      <alignment vertical="center" wrapText="1"/>
    </xf>
    <xf numFmtId="176" fontId="119" fillId="0" borderId="67" xfId="0" applyNumberFormat="1" applyFont="1" applyBorder="1" applyAlignment="1" applyProtection="1">
      <alignment horizontal="center" vertical="center" shrinkToFit="1"/>
      <protection locked="0"/>
    </xf>
    <xf numFmtId="176" fontId="119" fillId="0" borderId="67" xfId="0" applyNumberFormat="1" applyFont="1" applyBorder="1" applyAlignment="1" applyProtection="1">
      <alignment horizontal="center" vertical="center" wrapText="1" shrinkToFit="1"/>
      <protection locked="0"/>
    </xf>
    <xf numFmtId="176" fontId="121" fillId="0" borderId="68" xfId="0" applyNumberFormat="1" applyFont="1" applyBorder="1" applyAlignment="1" applyProtection="1">
      <alignment horizontal="center" vertical="center" wrapText="1" shrinkToFit="1"/>
      <protection locked="0"/>
    </xf>
    <xf numFmtId="0" fontId="0" fillId="0" borderId="75" xfId="0" applyBorder="1" applyAlignment="1">
      <alignment vertical="center" wrapText="1" shrinkToFit="1"/>
    </xf>
    <xf numFmtId="0" fontId="39" fillId="0" borderId="22" xfId="0" applyFont="1" applyBorder="1" applyAlignment="1">
      <alignment vertical="center" wrapText="1"/>
    </xf>
    <xf numFmtId="0" fontId="34" fillId="0" borderId="47" xfId="0" applyFont="1" applyBorder="1" applyAlignment="1">
      <alignment vertical="center" wrapText="1"/>
    </xf>
    <xf numFmtId="38" fontId="56" fillId="0" borderId="47" xfId="34" applyFont="1" applyBorder="1" applyAlignment="1" applyProtection="1">
      <alignment vertical="center" wrapText="1"/>
    </xf>
    <xf numFmtId="0" fontId="64" fillId="30" borderId="46" xfId="0" applyFont="1" applyFill="1" applyBorder="1" applyAlignment="1" applyProtection="1">
      <alignment horizontal="center" vertical="center" shrinkToFit="1"/>
      <protection locked="0"/>
    </xf>
    <xf numFmtId="177" fontId="43" fillId="24" borderId="47" xfId="28" applyNumberFormat="1" applyFont="1" applyFill="1" applyBorder="1" applyAlignment="1" applyProtection="1">
      <alignment horizontal="center" vertical="center" shrinkToFit="1"/>
    </xf>
    <xf numFmtId="0" fontId="39" fillId="24" borderId="69" xfId="0" applyFont="1" applyFill="1" applyBorder="1">
      <alignment vertical="center"/>
    </xf>
    <xf numFmtId="0" fontId="39" fillId="0" borderId="25" xfId="0" applyFont="1" applyBorder="1" applyProtection="1">
      <alignment vertical="center"/>
      <protection locked="0"/>
    </xf>
    <xf numFmtId="0" fontId="39" fillId="24" borderId="25" xfId="0" applyFont="1" applyFill="1" applyBorder="1">
      <alignment vertical="center"/>
    </xf>
    <xf numFmtId="0" fontId="39" fillId="24" borderId="83" xfId="0" applyFont="1" applyFill="1" applyBorder="1">
      <alignment vertical="center"/>
    </xf>
    <xf numFmtId="176" fontId="43" fillId="24" borderId="48" xfId="0" applyNumberFormat="1" applyFont="1" applyFill="1" applyBorder="1">
      <alignment vertical="center"/>
    </xf>
    <xf numFmtId="176" fontId="43" fillId="24" borderId="46" xfId="0" applyNumberFormat="1" applyFont="1" applyFill="1" applyBorder="1">
      <alignment vertical="center"/>
    </xf>
    <xf numFmtId="176" fontId="119" fillId="0" borderId="47" xfId="0" applyNumberFormat="1" applyFont="1" applyBorder="1" applyAlignment="1" applyProtection="1">
      <alignment horizontal="center" vertical="center" shrinkToFit="1"/>
      <protection locked="0"/>
    </xf>
    <xf numFmtId="176" fontId="119" fillId="0" borderId="47" xfId="0" applyNumberFormat="1" applyFont="1" applyBorder="1" applyAlignment="1" applyProtection="1">
      <alignment horizontal="center" vertical="center" wrapText="1" shrinkToFit="1"/>
      <protection locked="0"/>
    </xf>
    <xf numFmtId="176" fontId="121" fillId="0" borderId="48" xfId="0" applyNumberFormat="1" applyFont="1" applyBorder="1" applyAlignment="1" applyProtection="1">
      <alignment horizontal="center" vertical="center" wrapText="1" shrinkToFit="1"/>
      <protection locked="0"/>
    </xf>
    <xf numFmtId="0" fontId="32" fillId="0" borderId="43" xfId="0" applyFont="1" applyBorder="1">
      <alignment vertical="center"/>
    </xf>
    <xf numFmtId="0" fontId="32" fillId="0" borderId="37" xfId="0" applyFont="1" applyBorder="1">
      <alignment vertical="center"/>
    </xf>
    <xf numFmtId="49" fontId="32" fillId="0" borderId="37" xfId="0" applyNumberFormat="1" applyFont="1" applyBorder="1">
      <alignment vertical="center"/>
    </xf>
    <xf numFmtId="0" fontId="32" fillId="0" borderId="127" xfId="0" applyFont="1" applyBorder="1">
      <alignment vertical="center"/>
    </xf>
    <xf numFmtId="49" fontId="32" fillId="0" borderId="50" xfId="0" applyNumberFormat="1" applyFont="1" applyBorder="1">
      <alignment vertical="center"/>
    </xf>
    <xf numFmtId="0" fontId="32" fillId="0" borderId="60" xfId="0" applyFont="1" applyBorder="1">
      <alignment vertical="center"/>
    </xf>
    <xf numFmtId="49" fontId="32" fillId="0" borderId="56" xfId="0" applyNumberFormat="1" applyFont="1" applyBorder="1">
      <alignment vertical="center"/>
    </xf>
    <xf numFmtId="49" fontId="32" fillId="0" borderId="73" xfId="0" applyNumberFormat="1" applyFont="1" applyBorder="1">
      <alignment vertical="center"/>
    </xf>
    <xf numFmtId="49" fontId="32" fillId="0" borderId="89" xfId="0" applyNumberFormat="1" applyFont="1" applyBorder="1">
      <alignment vertical="center"/>
    </xf>
    <xf numFmtId="0" fontId="32" fillId="0" borderId="23" xfId="28" applyNumberFormat="1" applyFont="1" applyBorder="1" applyAlignment="1">
      <alignment horizontal="center" vertical="center" wrapText="1"/>
    </xf>
    <xf numFmtId="177" fontId="32" fillId="0" borderId="21" xfId="28" applyNumberFormat="1" applyFont="1" applyBorder="1" applyAlignment="1">
      <alignment vertical="center" wrapText="1"/>
    </xf>
    <xf numFmtId="177" fontId="120" fillId="0" borderId="37" xfId="28" applyNumberFormat="1" applyFont="1" applyBorder="1" applyAlignment="1">
      <alignment vertical="center" wrapText="1"/>
    </xf>
    <xf numFmtId="177" fontId="32" fillId="0" borderId="49" xfId="28" applyNumberFormat="1" applyFont="1" applyBorder="1" applyAlignment="1">
      <alignment vertical="center" wrapText="1"/>
    </xf>
    <xf numFmtId="177" fontId="32" fillId="0" borderId="20" xfId="28" applyNumberFormat="1" applyFont="1" applyBorder="1" applyAlignment="1">
      <alignment vertical="center" wrapText="1"/>
    </xf>
    <xf numFmtId="177" fontId="32" fillId="0" borderId="19" xfId="28" applyNumberFormat="1" applyFont="1" applyBorder="1" applyAlignment="1">
      <alignment vertical="center" wrapText="1"/>
    </xf>
    <xf numFmtId="0" fontId="32" fillId="0" borderId="52" xfId="0" applyFont="1" applyBorder="1" applyAlignment="1">
      <alignment horizontal="left" vertical="center" wrapText="1"/>
    </xf>
    <xf numFmtId="49" fontId="32" fillId="0" borderId="52" xfId="0" applyNumberFormat="1" applyFont="1" applyBorder="1">
      <alignment vertical="center"/>
    </xf>
    <xf numFmtId="0" fontId="74" fillId="0" borderId="50" xfId="0" applyFont="1" applyBorder="1" applyAlignment="1">
      <alignment vertical="center" wrapText="1"/>
    </xf>
    <xf numFmtId="0" fontId="74" fillId="0" borderId="25" xfId="0" applyFont="1" applyBorder="1">
      <alignment vertical="center"/>
    </xf>
    <xf numFmtId="0" fontId="50" fillId="24" borderId="0" xfId="0" applyFont="1" applyFill="1" applyAlignment="1">
      <alignment vertical="center" wrapText="1"/>
    </xf>
    <xf numFmtId="0" fontId="49" fillId="24" borderId="0" xfId="0" applyFont="1" applyFill="1" applyAlignment="1">
      <alignment vertical="center" wrapText="1"/>
    </xf>
    <xf numFmtId="0" fontId="44" fillId="28" borderId="0" xfId="0" applyFont="1" applyFill="1" applyAlignment="1" applyProtection="1">
      <alignment horizontal="center" vertical="center"/>
      <protection locked="0"/>
    </xf>
    <xf numFmtId="0" fontId="45" fillId="24" borderId="84" xfId="0" applyFont="1" applyFill="1" applyBorder="1">
      <alignment vertical="center"/>
    </xf>
    <xf numFmtId="0" fontId="115" fillId="0" borderId="0" xfId="0" applyFont="1" applyAlignment="1">
      <alignment horizontal="center" vertical="center" wrapText="1" shrinkToFit="1"/>
    </xf>
    <xf numFmtId="49" fontId="97" fillId="0" borderId="0" xfId="0" applyNumberFormat="1" applyFont="1" applyAlignment="1">
      <alignment horizontal="center" vertical="center" wrapText="1"/>
    </xf>
    <xf numFmtId="49" fontId="122" fillId="24" borderId="0" xfId="0" applyNumberFormat="1" applyFont="1" applyFill="1">
      <alignment vertical="center"/>
    </xf>
    <xf numFmtId="0" fontId="31" fillId="24" borderId="0" xfId="0" applyFont="1" applyFill="1" applyAlignment="1">
      <alignment horizontal="left" vertical="center"/>
    </xf>
    <xf numFmtId="0" fontId="32" fillId="0" borderId="0" xfId="28" applyNumberFormat="1" applyFont="1" applyFill="1" applyBorder="1" applyAlignment="1">
      <alignment horizontal="center" vertical="center" wrapText="1"/>
    </xf>
    <xf numFmtId="0" fontId="31" fillId="0" borderId="115" xfId="0" quotePrefix="1" applyFont="1" applyBorder="1" applyAlignment="1">
      <alignment horizontal="center" vertical="center"/>
    </xf>
    <xf numFmtId="0" fontId="51" fillId="25" borderId="10" xfId="0" applyFont="1" applyFill="1" applyBorder="1" applyAlignment="1">
      <alignment horizontal="center" vertical="center"/>
    </xf>
    <xf numFmtId="0" fontId="33" fillId="0" borderId="87" xfId="0" applyFont="1" applyBorder="1">
      <alignment vertical="center"/>
    </xf>
    <xf numFmtId="0" fontId="42" fillId="27" borderId="10" xfId="0" applyFont="1" applyFill="1" applyBorder="1" applyAlignment="1" applyProtection="1">
      <alignment vertical="center" wrapText="1"/>
      <protection locked="0"/>
    </xf>
    <xf numFmtId="0" fontId="97" fillId="0" borderId="0" xfId="0" applyFont="1" applyAlignment="1">
      <alignment horizontal="center" vertical="center"/>
    </xf>
    <xf numFmtId="0" fontId="100" fillId="0" borderId="0" xfId="0" applyFont="1">
      <alignment vertical="center"/>
    </xf>
    <xf numFmtId="0" fontId="42" fillId="27" borderId="10" xfId="0" applyFont="1" applyFill="1" applyBorder="1" applyAlignment="1" applyProtection="1">
      <alignment vertical="center" wrapText="1"/>
      <protection locked="0"/>
    </xf>
    <xf numFmtId="176" fontId="39" fillId="0" borderId="69" xfId="0" applyNumberFormat="1" applyFont="1" applyBorder="1" applyAlignment="1" applyProtection="1">
      <alignment horizontal="center" vertical="center" wrapText="1" shrinkToFit="1"/>
      <protection locked="0"/>
    </xf>
    <xf numFmtId="0" fontId="42" fillId="27" borderId="10" xfId="0" applyFont="1" applyFill="1" applyBorder="1" applyAlignment="1" applyProtection="1">
      <alignment vertical="center" wrapText="1"/>
      <protection locked="0"/>
    </xf>
    <xf numFmtId="0" fontId="42" fillId="0" borderId="12" xfId="0" applyFont="1" applyBorder="1" applyAlignment="1">
      <alignment horizontal="center" vertical="center"/>
    </xf>
    <xf numFmtId="0" fontId="0" fillId="24" borderId="10" xfId="0" applyFont="1" applyFill="1" applyBorder="1" applyAlignment="1">
      <alignment horizontal="center" vertical="center"/>
    </xf>
    <xf numFmtId="0" fontId="56" fillId="24" borderId="10" xfId="0" applyFont="1" applyFill="1" applyBorder="1" applyAlignment="1">
      <alignment horizontal="center" vertical="center"/>
    </xf>
    <xf numFmtId="0" fontId="0" fillId="24" borderId="38" xfId="0" applyFont="1" applyFill="1" applyBorder="1" applyAlignment="1">
      <alignment horizontal="left" vertical="center"/>
    </xf>
    <xf numFmtId="177" fontId="32" fillId="0" borderId="0" xfId="28" applyNumberFormat="1" applyFont="1" applyFill="1" applyBorder="1" applyAlignment="1">
      <alignment vertical="center" wrapText="1"/>
    </xf>
    <xf numFmtId="0" fontId="49" fillId="24" borderId="38" xfId="0" applyFont="1" applyFill="1" applyBorder="1" applyAlignment="1">
      <alignment horizontal="center" vertical="center"/>
    </xf>
    <xf numFmtId="177" fontId="32" fillId="0" borderId="30" xfId="28" applyNumberFormat="1" applyFont="1" applyBorder="1" applyAlignment="1">
      <alignment vertical="center" wrapText="1"/>
    </xf>
    <xf numFmtId="0" fontId="32" fillId="0" borderId="30" xfId="0" applyFont="1" applyBorder="1">
      <alignment vertical="center"/>
    </xf>
    <xf numFmtId="49" fontId="32" fillId="0" borderId="30" xfId="0" applyNumberFormat="1" applyFont="1" applyBorder="1">
      <alignment vertical="center"/>
    </xf>
    <xf numFmtId="177" fontId="120" fillId="0" borderId="30" xfId="0" applyNumberFormat="1" applyFont="1" applyBorder="1" applyAlignment="1">
      <alignment vertical="center" wrapText="1"/>
    </xf>
    <xf numFmtId="0" fontId="32" fillId="0" borderId="0" xfId="0" applyFont="1" applyBorder="1">
      <alignment vertical="center"/>
    </xf>
    <xf numFmtId="49" fontId="32" fillId="0" borderId="0" xfId="0" applyNumberFormat="1" applyFont="1" applyBorder="1">
      <alignment vertical="center"/>
    </xf>
    <xf numFmtId="177" fontId="32" fillId="0" borderId="0" xfId="28" applyNumberFormat="1" applyFont="1" applyBorder="1" applyAlignment="1">
      <alignment horizontal="right" vertical="center" wrapText="1"/>
    </xf>
    <xf numFmtId="177" fontId="120" fillId="0" borderId="0" xfId="0" applyNumberFormat="1" applyFont="1" applyBorder="1" applyAlignment="1">
      <alignment vertical="center" wrapText="1"/>
    </xf>
    <xf numFmtId="0" fontId="32" fillId="0" borderId="0" xfId="0" applyFont="1" applyFill="1" applyBorder="1">
      <alignment vertical="center"/>
    </xf>
    <xf numFmtId="0" fontId="89" fillId="0" borderId="0" xfId="0" applyFont="1" applyBorder="1">
      <alignment vertical="center"/>
    </xf>
    <xf numFmtId="0" fontId="32" fillId="0" borderId="0" xfId="0" applyFont="1" applyBorder="1" applyAlignment="1">
      <alignment horizontal="left" vertical="center" wrapText="1"/>
    </xf>
    <xf numFmtId="0" fontId="32" fillId="0" borderId="28" xfId="0" applyFont="1" applyBorder="1">
      <alignment vertical="center"/>
    </xf>
    <xf numFmtId="49" fontId="32" fillId="0" borderId="28" xfId="0" applyNumberFormat="1" applyFont="1" applyBorder="1">
      <alignment vertical="center"/>
    </xf>
    <xf numFmtId="177" fontId="32" fillId="0" borderId="138" xfId="28" applyNumberFormat="1" applyFont="1" applyBorder="1" applyAlignment="1">
      <alignment horizontal="right" vertical="center" wrapText="1"/>
    </xf>
    <xf numFmtId="177" fontId="32" fillId="0" borderId="128" xfId="28" applyNumberFormat="1" applyFont="1" applyBorder="1" applyAlignment="1">
      <alignment horizontal="right" vertical="center" wrapText="1"/>
    </xf>
    <xf numFmtId="177" fontId="32" fillId="0" borderId="137" xfId="28" applyNumberFormat="1" applyFont="1" applyBorder="1" applyAlignment="1">
      <alignment horizontal="right" vertical="center" wrapText="1"/>
    </xf>
    <xf numFmtId="177" fontId="32" fillId="0" borderId="139" xfId="28" applyNumberFormat="1" applyFont="1" applyBorder="1" applyAlignment="1">
      <alignment horizontal="right" vertical="center" wrapText="1"/>
    </xf>
    <xf numFmtId="177" fontId="125" fillId="0" borderId="10" xfId="43" applyNumberFormat="1" applyFont="1" applyBorder="1" applyAlignment="1">
      <alignment vertical="center"/>
    </xf>
    <xf numFmtId="177" fontId="125" fillId="0" borderId="128" xfId="43" applyNumberFormat="1" applyFont="1" applyBorder="1" applyAlignment="1">
      <alignment vertical="center"/>
    </xf>
    <xf numFmtId="177" fontId="125" fillId="0" borderId="140" xfId="43" applyNumberFormat="1" applyFont="1" applyBorder="1" applyAlignment="1">
      <alignment vertical="center"/>
    </xf>
    <xf numFmtId="177" fontId="125" fillId="0" borderId="38" xfId="43" applyNumberFormat="1" applyFont="1" applyBorder="1" applyAlignment="1">
      <alignment vertical="center"/>
    </xf>
    <xf numFmtId="177" fontId="125" fillId="0" borderId="141" xfId="43" applyNumberFormat="1" applyFont="1" applyBorder="1" applyAlignment="1">
      <alignment vertical="center"/>
    </xf>
    <xf numFmtId="177" fontId="120" fillId="0" borderId="128" xfId="28" applyNumberFormat="1" applyFont="1" applyBorder="1" applyAlignment="1">
      <alignment vertical="center" wrapText="1"/>
    </xf>
    <xf numFmtId="177" fontId="120" fillId="0" borderId="142" xfId="28" applyNumberFormat="1" applyFont="1" applyBorder="1" applyAlignment="1">
      <alignment vertical="center" wrapText="1"/>
    </xf>
    <xf numFmtId="177" fontId="120" fillId="0" borderId="139" xfId="0" applyNumberFormat="1" applyFont="1" applyBorder="1" applyAlignment="1">
      <alignment vertical="center" wrapText="1"/>
    </xf>
    <xf numFmtId="177" fontId="120" fillId="0" borderId="143" xfId="0" applyNumberFormat="1" applyFont="1" applyBorder="1" applyAlignment="1">
      <alignment vertical="center" wrapText="1"/>
    </xf>
    <xf numFmtId="177" fontId="120" fillId="0" borderId="144" xfId="0" applyNumberFormat="1" applyFont="1" applyBorder="1" applyAlignment="1">
      <alignment vertical="center" wrapText="1"/>
    </xf>
    <xf numFmtId="177" fontId="120" fillId="0" borderId="144" xfId="28" applyNumberFormat="1" applyFont="1" applyBorder="1" applyAlignment="1">
      <alignment vertical="center" wrapText="1"/>
    </xf>
    <xf numFmtId="177" fontId="120" fillId="0" borderId="144" xfId="28" applyNumberFormat="1" applyFont="1" applyBorder="1" applyAlignment="1">
      <alignment vertical="center"/>
    </xf>
    <xf numFmtId="0" fontId="59" fillId="0" borderId="145" xfId="98" applyFont="1" applyBorder="1" applyAlignment="1">
      <alignment vertical="center"/>
    </xf>
    <xf numFmtId="0" fontId="0" fillId="0" borderId="145" xfId="0" applyBorder="1">
      <alignment vertical="center"/>
    </xf>
    <xf numFmtId="0" fontId="33" fillId="0" borderId="145" xfId="0" applyFont="1" applyBorder="1">
      <alignment vertical="center"/>
    </xf>
    <xf numFmtId="0" fontId="59" fillId="0" borderId="146" xfId="98" applyFont="1" applyBorder="1" applyAlignment="1">
      <alignment vertical="center"/>
    </xf>
    <xf numFmtId="0" fontId="59" fillId="0" borderId="147" xfId="98" applyFont="1" applyBorder="1" applyAlignment="1">
      <alignment vertical="center" wrapText="1"/>
    </xf>
    <xf numFmtId="0" fontId="32" fillId="0" borderId="148" xfId="0" applyFont="1" applyBorder="1">
      <alignment vertical="center"/>
    </xf>
    <xf numFmtId="0" fontId="46" fillId="0" borderId="149" xfId="0" applyFont="1" applyBorder="1">
      <alignment vertical="center"/>
    </xf>
    <xf numFmtId="0" fontId="46" fillId="0" borderId="150" xfId="0" applyFont="1" applyBorder="1">
      <alignment vertical="center"/>
    </xf>
    <xf numFmtId="9" fontId="46" fillId="0" borderId="146" xfId="28" applyFont="1" applyBorder="1">
      <alignment vertical="center"/>
    </xf>
    <xf numFmtId="9" fontId="46" fillId="0" borderId="149" xfId="28" applyFont="1" applyBorder="1">
      <alignment vertical="center"/>
    </xf>
    <xf numFmtId="9" fontId="46" fillId="0" borderId="147" xfId="28" applyFont="1" applyBorder="1">
      <alignment vertical="center"/>
    </xf>
    <xf numFmtId="0" fontId="59" fillId="0" borderId="147" xfId="98" applyFont="1" applyBorder="1" applyAlignment="1">
      <alignment vertical="center"/>
    </xf>
    <xf numFmtId="0" fontId="59" fillId="0" borderId="151" xfId="98" applyFont="1" applyBorder="1" applyAlignment="1">
      <alignment vertical="center"/>
    </xf>
    <xf numFmtId="9" fontId="59" fillId="0" borderId="152" xfId="98" applyNumberFormat="1" applyFont="1" applyBorder="1" applyAlignment="1">
      <alignment vertical="center"/>
    </xf>
    <xf numFmtId="0" fontId="32" fillId="0" borderId="153" xfId="0" applyFont="1" applyBorder="1">
      <alignment vertical="center"/>
    </xf>
    <xf numFmtId="0" fontId="46" fillId="0" borderId="154" xfId="0" applyFont="1" applyBorder="1">
      <alignment vertical="center"/>
    </xf>
    <xf numFmtId="0" fontId="46" fillId="0" borderId="155" xfId="0" applyFont="1" applyBorder="1">
      <alignment vertical="center"/>
    </xf>
    <xf numFmtId="2" fontId="46" fillId="0" borderId="151" xfId="0" applyNumberFormat="1" applyFont="1" applyBorder="1">
      <alignment vertical="center"/>
    </xf>
    <xf numFmtId="2" fontId="46" fillId="0" borderId="154" xfId="0" applyNumberFormat="1" applyFont="1" applyBorder="1">
      <alignment vertical="center"/>
    </xf>
    <xf numFmtId="2" fontId="46" fillId="0" borderId="155" xfId="0" applyNumberFormat="1" applyFont="1" applyBorder="1">
      <alignment vertical="center"/>
    </xf>
    <xf numFmtId="0" fontId="59" fillId="0" borderId="156" xfId="98" applyFont="1" applyBorder="1" applyAlignment="1">
      <alignment vertical="center"/>
    </xf>
    <xf numFmtId="9" fontId="59" fillId="0" borderId="157" xfId="98" applyNumberFormat="1" applyFont="1" applyBorder="1" applyAlignment="1">
      <alignment vertical="center"/>
    </xf>
    <xf numFmtId="0" fontId="32" fillId="0" borderId="158" xfId="0" applyFont="1" applyBorder="1">
      <alignment vertical="center"/>
    </xf>
    <xf numFmtId="0" fontId="46" fillId="0" borderId="159" xfId="0" applyFont="1" applyBorder="1">
      <alignment vertical="center"/>
    </xf>
    <xf numFmtId="0" fontId="46" fillId="0" borderId="160" xfId="0" applyFont="1" applyBorder="1">
      <alignment vertical="center"/>
    </xf>
    <xf numFmtId="2" fontId="46" fillId="0" borderId="156" xfId="0" applyNumberFormat="1" applyFont="1" applyBorder="1">
      <alignment vertical="center"/>
    </xf>
    <xf numFmtId="2" fontId="46" fillId="0" borderId="159" xfId="0" applyNumberFormat="1" applyFont="1" applyBorder="1">
      <alignment vertical="center"/>
    </xf>
    <xf numFmtId="2" fontId="46" fillId="0" borderId="160" xfId="0" applyNumberFormat="1" applyFont="1" applyBorder="1">
      <alignment vertical="center"/>
    </xf>
    <xf numFmtId="0" fontId="32" fillId="0" borderId="161" xfId="0" applyFont="1" applyBorder="1" applyAlignment="1">
      <alignment horizontal="left" vertical="center" wrapText="1"/>
    </xf>
    <xf numFmtId="0" fontId="59" fillId="0" borderId="162" xfId="98" applyFont="1" applyBorder="1" applyAlignment="1">
      <alignment vertical="center"/>
    </xf>
    <xf numFmtId="9" fontId="59" fillId="0" borderId="163" xfId="98" applyNumberFormat="1" applyFont="1" applyBorder="1" applyAlignment="1">
      <alignment vertical="center"/>
    </xf>
    <xf numFmtId="0" fontId="32" fillId="0" borderId="164" xfId="0" applyFont="1" applyBorder="1">
      <alignment vertical="center"/>
    </xf>
    <xf numFmtId="0" fontId="46" fillId="0" borderId="165" xfId="0" applyFont="1" applyBorder="1">
      <alignment vertical="center"/>
    </xf>
    <xf numFmtId="0" fontId="46" fillId="0" borderId="166" xfId="0" applyFont="1" applyBorder="1">
      <alignment vertical="center"/>
    </xf>
    <xf numFmtId="2" fontId="46" fillId="0" borderId="162" xfId="0" applyNumberFormat="1" applyFont="1" applyBorder="1">
      <alignment vertical="center"/>
    </xf>
    <xf numFmtId="2" fontId="46" fillId="0" borderId="165" xfId="0" applyNumberFormat="1" applyFont="1" applyBorder="1">
      <alignment vertical="center"/>
    </xf>
    <xf numFmtId="2" fontId="46" fillId="0" borderId="166" xfId="0" applyNumberFormat="1" applyFont="1" applyBorder="1">
      <alignment vertical="center"/>
    </xf>
    <xf numFmtId="0" fontId="59" fillId="0" borderId="167" xfId="98" applyFont="1" applyBorder="1" applyAlignment="1">
      <alignment vertical="center"/>
    </xf>
    <xf numFmtId="9" fontId="59" fillId="0" borderId="168" xfId="98" applyNumberFormat="1" applyFont="1" applyBorder="1" applyAlignment="1">
      <alignment vertical="center"/>
    </xf>
    <xf numFmtId="0" fontId="32" fillId="0" borderId="169" xfId="0" applyFont="1" applyBorder="1">
      <alignment vertical="center"/>
    </xf>
    <xf numFmtId="0" fontId="46" fillId="0" borderId="170" xfId="0" applyFont="1" applyBorder="1">
      <alignment vertical="center"/>
    </xf>
    <xf numFmtId="0" fontId="46" fillId="0" borderId="168" xfId="0" applyFont="1" applyBorder="1">
      <alignment vertical="center"/>
    </xf>
    <xf numFmtId="0" fontId="46" fillId="0" borderId="151" xfId="0" applyFont="1" applyBorder="1">
      <alignment vertical="center"/>
    </xf>
    <xf numFmtId="0" fontId="46" fillId="0" borderId="152" xfId="0" applyFont="1" applyBorder="1">
      <alignment vertical="center"/>
    </xf>
    <xf numFmtId="0" fontId="46" fillId="0" borderId="157" xfId="0" applyFont="1" applyBorder="1">
      <alignment vertical="center"/>
    </xf>
    <xf numFmtId="0" fontId="46" fillId="0" borderId="156" xfId="0" applyFont="1" applyBorder="1">
      <alignment vertical="center"/>
    </xf>
    <xf numFmtId="0" fontId="59" fillId="0" borderId="171" xfId="98" applyFont="1" applyBorder="1" applyAlignment="1">
      <alignment vertical="center"/>
    </xf>
    <xf numFmtId="9" fontId="59" fillId="0" borderId="172" xfId="98" applyNumberFormat="1" applyFont="1" applyBorder="1" applyAlignment="1">
      <alignment vertical="center"/>
    </xf>
    <xf numFmtId="0" fontId="32" fillId="0" borderId="173" xfId="0" applyFont="1" applyBorder="1">
      <alignment vertical="center"/>
    </xf>
    <xf numFmtId="0" fontId="46" fillId="0" borderId="174" xfId="0" applyFont="1" applyBorder="1">
      <alignment vertical="center"/>
    </xf>
    <xf numFmtId="0" fontId="46" fillId="0" borderId="172" xfId="0" applyFont="1" applyBorder="1">
      <alignment vertical="center"/>
    </xf>
    <xf numFmtId="0" fontId="46" fillId="0" borderId="162" xfId="0" applyFont="1" applyBorder="1">
      <alignment vertical="center"/>
    </xf>
    <xf numFmtId="0" fontId="46" fillId="0" borderId="163" xfId="0" applyFont="1" applyBorder="1">
      <alignment vertical="center"/>
    </xf>
    <xf numFmtId="0" fontId="32" fillId="0" borderId="151" xfId="0" applyFont="1" applyBorder="1">
      <alignment vertical="center"/>
    </xf>
    <xf numFmtId="9" fontId="32" fillId="0" borderId="152" xfId="28" applyFont="1" applyBorder="1">
      <alignment vertical="center"/>
    </xf>
    <xf numFmtId="0" fontId="32" fillId="0" borderId="156" xfId="0" applyFont="1" applyBorder="1">
      <alignment vertical="center"/>
    </xf>
    <xf numFmtId="9" fontId="32" fillId="0" borderId="157" xfId="28" applyFont="1" applyBorder="1">
      <alignment vertical="center"/>
    </xf>
    <xf numFmtId="0" fontId="89" fillId="0" borderId="151" xfId="0" applyFont="1" applyBorder="1">
      <alignment vertical="center"/>
    </xf>
    <xf numFmtId="0" fontId="89" fillId="0" borderId="156" xfId="0" applyFont="1" applyBorder="1">
      <alignment vertical="center"/>
    </xf>
    <xf numFmtId="0" fontId="32" fillId="0" borderId="156" xfId="0" applyFont="1" applyBorder="1" applyAlignment="1">
      <alignment horizontal="left" vertical="center" wrapText="1"/>
    </xf>
    <xf numFmtId="0" fontId="32" fillId="0" borderId="162" xfId="0" applyFont="1" applyBorder="1" applyAlignment="1">
      <alignment horizontal="left" vertical="center" wrapText="1"/>
    </xf>
    <xf numFmtId="0" fontId="32" fillId="0" borderId="153" xfId="99" applyFont="1" applyBorder="1">
      <alignment vertical="center"/>
    </xf>
    <xf numFmtId="0" fontId="32" fillId="0" borderId="158" xfId="99" applyFont="1" applyBorder="1">
      <alignment vertical="center"/>
    </xf>
    <xf numFmtId="0" fontId="32" fillId="0" borderId="164" xfId="99" applyFont="1" applyBorder="1">
      <alignment vertical="center"/>
    </xf>
    <xf numFmtId="0" fontId="46" fillId="0" borderId="167" xfId="0" applyFont="1" applyBorder="1">
      <alignment vertical="center"/>
    </xf>
    <xf numFmtId="0" fontId="32" fillId="0" borderId="169" xfId="99" applyFont="1" applyBorder="1">
      <alignment vertical="center"/>
    </xf>
    <xf numFmtId="0" fontId="32" fillId="0" borderId="173" xfId="99" applyFont="1" applyBorder="1">
      <alignment vertical="center"/>
    </xf>
    <xf numFmtId="0" fontId="46" fillId="0" borderId="171" xfId="0" applyFont="1" applyBorder="1">
      <alignment vertical="center"/>
    </xf>
    <xf numFmtId="0" fontId="59" fillId="0" borderId="158" xfId="98" applyFont="1" applyBorder="1" applyAlignment="1">
      <alignment vertical="center"/>
    </xf>
    <xf numFmtId="0" fontId="59" fillId="0" borderId="164" xfId="98" applyFont="1" applyBorder="1" applyAlignment="1">
      <alignment vertical="center"/>
    </xf>
    <xf numFmtId="9" fontId="59" fillId="0" borderId="147" xfId="98" applyNumberFormat="1" applyFont="1" applyBorder="1" applyAlignment="1">
      <alignment vertical="center"/>
    </xf>
    <xf numFmtId="0" fontId="59" fillId="0" borderId="148" xfId="98" applyFont="1" applyBorder="1" applyAlignment="1">
      <alignment vertical="center"/>
    </xf>
    <xf numFmtId="0" fontId="59" fillId="0" borderId="149" xfId="98" applyFont="1" applyBorder="1" applyAlignment="1">
      <alignment vertical="center"/>
    </xf>
    <xf numFmtId="179" fontId="59" fillId="0" borderId="149" xfId="98" applyNumberFormat="1" applyFont="1" applyBorder="1" applyAlignment="1">
      <alignment vertical="center"/>
    </xf>
    <xf numFmtId="179" fontId="59" fillId="0" borderId="147" xfId="98" applyNumberFormat="1" applyFont="1" applyBorder="1" applyAlignment="1">
      <alignment vertical="center"/>
    </xf>
    <xf numFmtId="0" fontId="32" fillId="0" borderId="52" xfId="43" applyFont="1" applyBorder="1" applyAlignment="1">
      <alignment horizontal="left" vertical="center" wrapText="1"/>
    </xf>
    <xf numFmtId="0" fontId="32" fillId="0" borderId="41" xfId="28" applyNumberFormat="1" applyFont="1" applyFill="1" applyBorder="1" applyAlignment="1">
      <alignment horizontal="center" vertical="center" wrapText="1"/>
    </xf>
    <xf numFmtId="0" fontId="32" fillId="0" borderId="0" xfId="43" applyFont="1" applyBorder="1" applyAlignment="1">
      <alignment horizontal="left" vertical="center" wrapText="1"/>
    </xf>
    <xf numFmtId="0" fontId="32" fillId="0" borderId="90" xfId="0" applyFont="1" applyBorder="1">
      <alignment vertical="center"/>
    </xf>
    <xf numFmtId="0" fontId="32" fillId="0" borderId="90" xfId="28" applyNumberFormat="1" applyFont="1" applyFill="1" applyBorder="1" applyAlignment="1">
      <alignment horizontal="center" vertical="center" wrapText="1"/>
    </xf>
    <xf numFmtId="0" fontId="32" fillId="0" borderId="0" xfId="43" applyFont="1" applyBorder="1" applyAlignment="1">
      <alignment horizontal="center" vertical="center" wrapText="1"/>
    </xf>
    <xf numFmtId="177" fontId="32" fillId="0" borderId="0" xfId="50" applyNumberFormat="1" applyFont="1" applyBorder="1" applyAlignment="1">
      <alignment vertical="center" wrapText="1"/>
    </xf>
    <xf numFmtId="0" fontId="32" fillId="0" borderId="0" xfId="43" applyFont="1" applyBorder="1" applyAlignment="1">
      <alignment vertical="center"/>
    </xf>
    <xf numFmtId="177" fontId="32" fillId="0" borderId="0" xfId="50" applyNumberFormat="1" applyFont="1" applyFill="1" applyBorder="1" applyAlignment="1">
      <alignment vertical="center" wrapText="1"/>
    </xf>
    <xf numFmtId="0" fontId="32" fillId="0" borderId="0" xfId="43" applyFont="1" applyBorder="1" applyAlignment="1">
      <alignment vertical="center" wrapText="1"/>
    </xf>
    <xf numFmtId="0" fontId="90" fillId="0" borderId="0" xfId="0" applyFont="1" applyBorder="1">
      <alignment vertical="center"/>
    </xf>
    <xf numFmtId="0" fontId="33" fillId="0" borderId="0" xfId="0" applyFont="1" applyBorder="1">
      <alignment vertical="center"/>
    </xf>
    <xf numFmtId="0" fontId="74" fillId="0" borderId="30" xfId="0" applyFont="1" applyBorder="1">
      <alignment vertical="center"/>
    </xf>
    <xf numFmtId="0" fontId="74" fillId="0" borderId="78" xfId="0" applyFont="1" applyBorder="1">
      <alignment vertical="center"/>
    </xf>
    <xf numFmtId="0" fontId="32" fillId="0" borderId="30" xfId="0" applyFont="1" applyBorder="1" applyAlignment="1">
      <alignment horizontal="center" vertical="center"/>
    </xf>
    <xf numFmtId="176" fontId="43" fillId="24" borderId="50" xfId="0" applyNumberFormat="1" applyFont="1" applyFill="1" applyBorder="1">
      <alignment vertical="center"/>
    </xf>
    <xf numFmtId="0" fontId="39" fillId="24" borderId="24" xfId="0" applyFont="1" applyFill="1" applyBorder="1" applyAlignment="1">
      <alignment horizontal="center" vertical="center" wrapText="1"/>
    </xf>
    <xf numFmtId="0" fontId="64" fillId="30" borderId="64" xfId="0" applyFont="1" applyFill="1" applyBorder="1" applyAlignment="1" applyProtection="1">
      <alignment horizontal="center" vertical="center" shrinkToFit="1"/>
      <protection locked="0"/>
    </xf>
    <xf numFmtId="0" fontId="64" fillId="30" borderId="83" xfId="0" applyFont="1" applyFill="1" applyBorder="1" applyAlignment="1" applyProtection="1">
      <alignment horizontal="center" vertical="center" shrinkToFit="1"/>
      <protection locked="0"/>
    </xf>
    <xf numFmtId="0" fontId="64" fillId="30" borderId="61" xfId="0" applyFont="1" applyFill="1" applyBorder="1" applyAlignment="1" applyProtection="1">
      <alignment horizontal="center" vertical="center" shrinkToFit="1"/>
      <protection locked="0"/>
    </xf>
    <xf numFmtId="0" fontId="39" fillId="24" borderId="13" xfId="0" applyFont="1" applyFill="1" applyBorder="1" applyAlignment="1">
      <alignment horizontal="center" vertical="center" wrapText="1"/>
    </xf>
    <xf numFmtId="176" fontId="43" fillId="24" borderId="30" xfId="0" applyNumberFormat="1" applyFont="1" applyFill="1" applyBorder="1">
      <alignment vertical="center"/>
    </xf>
    <xf numFmtId="176" fontId="43" fillId="24" borderId="69" xfId="0" applyNumberFormat="1" applyFont="1" applyFill="1" applyBorder="1">
      <alignment vertical="center"/>
    </xf>
    <xf numFmtId="176" fontId="43" fillId="24" borderId="83" xfId="0" applyNumberFormat="1" applyFont="1" applyFill="1" applyBorder="1">
      <alignment vertical="center"/>
    </xf>
    <xf numFmtId="176" fontId="43" fillId="24" borderId="47" xfId="0" applyNumberFormat="1" applyFont="1" applyFill="1" applyBorder="1">
      <alignment vertical="center"/>
    </xf>
    <xf numFmtId="0" fontId="32" fillId="0" borderId="10" xfId="28" applyNumberFormat="1" applyFont="1" applyBorder="1" applyAlignment="1">
      <alignment horizontal="center" vertical="center" wrapText="1"/>
    </xf>
    <xf numFmtId="0" fontId="113" fillId="24" borderId="0" xfId="0" applyFont="1" applyFill="1" applyBorder="1" applyAlignment="1">
      <alignment horizontal="left" vertical="center" wrapText="1"/>
    </xf>
    <xf numFmtId="183" fontId="56" fillId="24" borderId="0" xfId="0" applyNumberFormat="1" applyFont="1" applyFill="1" applyBorder="1">
      <alignment vertical="center"/>
    </xf>
    <xf numFmtId="177" fontId="56" fillId="0" borderId="47" xfId="28" applyNumberFormat="1" applyFont="1" applyBorder="1" applyAlignment="1" applyProtection="1">
      <alignment vertical="center" wrapText="1"/>
    </xf>
    <xf numFmtId="177" fontId="56" fillId="0" borderId="64" xfId="28" applyNumberFormat="1" applyFont="1" applyBorder="1" applyAlignment="1" applyProtection="1">
      <alignment vertical="center" wrapText="1"/>
    </xf>
    <xf numFmtId="38" fontId="56" fillId="30" borderId="64" xfId="34" applyFont="1" applyFill="1" applyBorder="1" applyAlignment="1" applyProtection="1">
      <alignment vertical="center" wrapText="1"/>
    </xf>
    <xf numFmtId="38" fontId="56" fillId="30" borderId="47" xfId="34" applyFont="1" applyFill="1" applyBorder="1" applyAlignment="1" applyProtection="1">
      <alignment vertical="center" wrapText="1"/>
    </xf>
    <xf numFmtId="0" fontId="33" fillId="0" borderId="0" xfId="0" applyFont="1" applyAlignment="1">
      <alignment vertical="center" wrapText="1"/>
    </xf>
    <xf numFmtId="178" fontId="36" fillId="0" borderId="27" xfId="0" applyNumberFormat="1" applyFont="1" applyBorder="1" applyAlignment="1" applyProtection="1">
      <alignment horizontal="right" vertical="center" shrinkToFit="1"/>
      <protection locked="0"/>
    </xf>
    <xf numFmtId="0" fontId="56" fillId="0" borderId="0" xfId="0" applyFont="1" applyBorder="1" applyAlignment="1" applyProtection="1">
      <alignment horizontal="right" vertical="center"/>
      <protection locked="0"/>
    </xf>
    <xf numFmtId="0" fontId="49" fillId="24" borderId="12" xfId="0" applyFont="1" applyFill="1" applyBorder="1" applyAlignment="1">
      <alignment horizontal="left" vertical="center"/>
    </xf>
    <xf numFmtId="0" fontId="31" fillId="24" borderId="0" xfId="0" applyFont="1" applyFill="1" applyAlignment="1">
      <alignment horizontal="left" vertical="top" wrapText="1"/>
    </xf>
    <xf numFmtId="0" fontId="40" fillId="26" borderId="14" xfId="0" applyFont="1" applyFill="1" applyBorder="1" applyAlignment="1">
      <alignment horizontal="left" vertical="center"/>
    </xf>
    <xf numFmtId="0" fontId="41" fillId="25" borderId="54" xfId="0" applyFont="1" applyFill="1" applyBorder="1" applyAlignment="1">
      <alignment horizontal="center" vertical="center"/>
    </xf>
    <xf numFmtId="0" fontId="38" fillId="24" borderId="50" xfId="0" applyFont="1" applyFill="1" applyBorder="1" applyAlignment="1">
      <alignment horizontal="center" vertical="center"/>
    </xf>
    <xf numFmtId="0" fontId="41" fillId="24" borderId="30" xfId="0" applyFont="1" applyFill="1" applyBorder="1" applyAlignment="1">
      <alignment horizontal="left" vertical="center" wrapText="1"/>
    </xf>
    <xf numFmtId="0" fontId="41" fillId="24" borderId="76" xfId="0" applyFont="1" applyFill="1" applyBorder="1" applyAlignment="1">
      <alignment horizontal="left" vertical="center" wrapText="1"/>
    </xf>
    <xf numFmtId="0" fontId="42" fillId="24" borderId="0" xfId="0" applyFont="1" applyFill="1" applyAlignment="1">
      <alignment horizontal="left" vertical="top" wrapText="1"/>
    </xf>
    <xf numFmtId="0" fontId="41" fillId="25" borderId="50" xfId="0" applyFont="1" applyFill="1" applyBorder="1" applyAlignment="1">
      <alignment horizontal="center" vertical="center"/>
    </xf>
    <xf numFmtId="0" fontId="43" fillId="24" borderId="0" xfId="0" applyFont="1" applyFill="1" applyAlignment="1">
      <alignment horizontal="center" vertical="center"/>
    </xf>
    <xf numFmtId="0" fontId="40" fillId="24" borderId="0" xfId="0" applyFont="1" applyFill="1" applyAlignment="1">
      <alignment horizontal="left" vertical="top" wrapText="1"/>
    </xf>
    <xf numFmtId="0" fontId="66" fillId="0" borderId="91" xfId="0" applyFont="1" applyBorder="1" applyAlignment="1">
      <alignment horizontal="center" vertical="center"/>
    </xf>
    <xf numFmtId="0" fontId="66" fillId="0" borderId="104" xfId="0" applyFont="1" applyBorder="1" applyAlignment="1">
      <alignment horizontal="center" vertical="center"/>
    </xf>
    <xf numFmtId="0" fontId="41" fillId="24" borderId="0" xfId="0" applyFont="1" applyFill="1" applyAlignment="1">
      <alignment vertical="center" wrapText="1"/>
    </xf>
    <xf numFmtId="0" fontId="31" fillId="0" borderId="109" xfId="0" quotePrefix="1" applyFont="1" applyBorder="1" applyAlignment="1">
      <alignment horizontal="center" vertical="center"/>
    </xf>
    <xf numFmtId="0" fontId="42" fillId="24" borderId="0" xfId="0" applyFont="1" applyFill="1" applyAlignment="1">
      <alignment vertical="center" wrapText="1"/>
    </xf>
    <xf numFmtId="0" fontId="40" fillId="26" borderId="90" xfId="0" applyFont="1" applyFill="1" applyBorder="1" applyAlignment="1">
      <alignment horizontal="center" vertical="center"/>
    </xf>
    <xf numFmtId="0" fontId="40" fillId="26" borderId="84" xfId="0" applyFont="1" applyFill="1" applyBorder="1" applyAlignment="1">
      <alignment horizontal="center" vertical="center"/>
    </xf>
    <xf numFmtId="0" fontId="47" fillId="24" borderId="0" xfId="0" applyFont="1" applyFill="1" applyAlignment="1">
      <alignment horizontal="left" vertical="center"/>
    </xf>
    <xf numFmtId="0" fontId="51" fillId="24" borderId="0" xfId="0" applyFont="1" applyFill="1" applyAlignment="1">
      <alignment horizontal="left" vertical="center"/>
    </xf>
    <xf numFmtId="0" fontId="0" fillId="24" borderId="0" xfId="0" applyFill="1" applyBorder="1" applyAlignment="1">
      <alignment horizontal="left" vertical="top" wrapText="1"/>
    </xf>
    <xf numFmtId="0" fontId="111" fillId="29" borderId="0" xfId="0" applyFont="1" applyFill="1" applyAlignment="1">
      <alignment horizontal="center" vertical="center"/>
    </xf>
    <xf numFmtId="0" fontId="115" fillId="25" borderId="22" xfId="0" applyFont="1" applyFill="1" applyBorder="1" applyAlignment="1">
      <alignment horizontal="center" vertical="center"/>
    </xf>
    <xf numFmtId="0" fontId="66" fillId="29" borderId="0" xfId="0" applyFont="1" applyFill="1" applyAlignment="1">
      <alignment horizontal="center" vertical="center"/>
    </xf>
    <xf numFmtId="0" fontId="43" fillId="24" borderId="51" xfId="0" applyFont="1" applyFill="1" applyBorder="1" applyAlignment="1">
      <alignment horizontal="center" vertical="center" wrapText="1"/>
    </xf>
    <xf numFmtId="0" fontId="39" fillId="24" borderId="0" xfId="0" applyFont="1" applyFill="1" applyAlignment="1">
      <alignment horizontal="center" vertical="center"/>
    </xf>
    <xf numFmtId="177" fontId="43" fillId="24" borderId="58" xfId="28" applyNumberFormat="1" applyFont="1" applyFill="1" applyBorder="1" applyAlignment="1" applyProtection="1">
      <alignment horizontal="center" vertical="center" shrinkToFit="1"/>
    </xf>
    <xf numFmtId="177" fontId="43" fillId="24" borderId="67" xfId="28" applyNumberFormat="1" applyFont="1" applyFill="1" applyBorder="1" applyAlignment="1" applyProtection="1">
      <alignment horizontal="center" vertical="center" shrinkToFit="1"/>
    </xf>
    <xf numFmtId="0" fontId="66" fillId="0" borderId="102" xfId="0" applyFont="1" applyBorder="1" applyAlignment="1">
      <alignment horizontal="center" vertical="center" wrapText="1"/>
    </xf>
    <xf numFmtId="38" fontId="56" fillId="0" borderId="58" xfId="34" applyFont="1" applyBorder="1" applyAlignment="1" applyProtection="1">
      <alignment vertical="center" wrapText="1"/>
    </xf>
    <xf numFmtId="38" fontId="56" fillId="0" borderId="67" xfId="34" applyFont="1" applyBorder="1" applyAlignment="1" applyProtection="1">
      <alignment vertical="center" wrapText="1"/>
    </xf>
    <xf numFmtId="0" fontId="66" fillId="0" borderId="91" xfId="0" applyFont="1" applyBorder="1" applyAlignment="1">
      <alignment horizontal="center" vertical="center" wrapText="1"/>
    </xf>
    <xf numFmtId="0" fontId="66" fillId="0" borderId="95" xfId="0" applyFont="1" applyBorder="1" applyAlignment="1">
      <alignment horizontal="center" vertical="center"/>
    </xf>
    <xf numFmtId="0" fontId="107" fillId="0" borderId="0" xfId="0" applyFont="1" applyAlignment="1">
      <alignment horizontal="left" vertical="center" wrapText="1"/>
    </xf>
    <xf numFmtId="0" fontId="107" fillId="0" borderId="107" xfId="0" applyFont="1" applyBorder="1" applyAlignment="1">
      <alignment horizontal="left" vertical="center" wrapText="1"/>
    </xf>
    <xf numFmtId="0" fontId="41" fillId="25" borderId="54" xfId="0" applyFont="1" applyFill="1" applyBorder="1" applyAlignment="1">
      <alignment horizontal="center" vertical="center" wrapText="1"/>
    </xf>
    <xf numFmtId="0" fontId="44" fillId="25" borderId="73" xfId="0" applyFont="1" applyFill="1" applyBorder="1" applyAlignment="1">
      <alignment horizontal="center" vertical="center"/>
    </xf>
    <xf numFmtId="183" fontId="56" fillId="24" borderId="77" xfId="0" applyNumberFormat="1" applyFont="1" applyFill="1" applyBorder="1">
      <alignment vertical="center"/>
    </xf>
    <xf numFmtId="183" fontId="56" fillId="24" borderId="30" xfId="0" applyNumberFormat="1" applyFont="1" applyFill="1" applyBorder="1">
      <alignment vertical="center"/>
    </xf>
    <xf numFmtId="0" fontId="0" fillId="0" borderId="0" xfId="0" applyBorder="1" applyAlignment="1" applyProtection="1">
      <alignment vertical="center"/>
      <protection locked="0"/>
    </xf>
    <xf numFmtId="0" fontId="0" fillId="0" borderId="0" xfId="0" applyBorder="1" applyAlignment="1" applyProtection="1">
      <alignment horizontal="center" vertical="center"/>
      <protection locked="0"/>
    </xf>
    <xf numFmtId="38" fontId="0" fillId="0" borderId="0" xfId="34" applyFont="1">
      <alignment vertical="center"/>
    </xf>
    <xf numFmtId="38" fontId="111" fillId="0" borderId="0" xfId="34" applyFont="1">
      <alignment vertical="center"/>
    </xf>
    <xf numFmtId="38" fontId="66" fillId="29" borderId="0" xfId="34" applyFont="1" applyFill="1" applyAlignment="1">
      <alignment horizontal="center" vertical="center"/>
    </xf>
    <xf numFmtId="0" fontId="46" fillId="24" borderId="15" xfId="0" applyFont="1" applyFill="1" applyBorder="1">
      <alignment vertical="center"/>
    </xf>
    <xf numFmtId="0" fontId="46" fillId="0" borderId="40" xfId="0" applyFont="1" applyBorder="1">
      <alignment vertical="center"/>
    </xf>
    <xf numFmtId="0" fontId="41" fillId="24" borderId="0" xfId="0" applyFont="1" applyFill="1" applyAlignment="1">
      <alignment horizontal="left" vertical="center"/>
    </xf>
    <xf numFmtId="0" fontId="66" fillId="0" borderId="91" xfId="0" applyFont="1" applyBorder="1" applyAlignment="1">
      <alignment horizontal="center" vertical="center"/>
    </xf>
    <xf numFmtId="0" fontId="66" fillId="0" borderId="103" xfId="0" applyFont="1" applyBorder="1" applyAlignment="1">
      <alignment horizontal="center" vertical="center" wrapText="1"/>
    </xf>
    <xf numFmtId="0" fontId="66" fillId="0" borderId="102" xfId="0" applyFont="1" applyBorder="1" applyAlignment="1">
      <alignment horizontal="center" vertical="center" wrapText="1"/>
    </xf>
    <xf numFmtId="0" fontId="126" fillId="0" borderId="0" xfId="0" applyFont="1">
      <alignment vertical="center"/>
    </xf>
    <xf numFmtId="0" fontId="51" fillId="25" borderId="26" xfId="0" applyFont="1" applyFill="1" applyBorder="1" applyAlignment="1">
      <alignment horizontal="center" vertical="center" wrapText="1"/>
    </xf>
    <xf numFmtId="0" fontId="50" fillId="25" borderId="26" xfId="0" applyFont="1" applyFill="1" applyBorder="1" applyAlignment="1">
      <alignment horizontal="center" vertical="center" wrapText="1"/>
    </xf>
    <xf numFmtId="0" fontId="66" fillId="29" borderId="0" xfId="0" applyFont="1" applyFill="1" applyAlignment="1">
      <alignment horizontal="center" vertical="center"/>
    </xf>
    <xf numFmtId="0" fontId="113" fillId="24" borderId="30" xfId="0" applyFont="1" applyFill="1" applyBorder="1" applyAlignment="1">
      <alignment vertical="center" wrapText="1"/>
    </xf>
    <xf numFmtId="0" fontId="115" fillId="25" borderId="22" xfId="0" applyFont="1" applyFill="1" applyBorder="1" applyAlignment="1">
      <alignment horizontal="center" vertical="center" wrapText="1"/>
    </xf>
    <xf numFmtId="177" fontId="56" fillId="0" borderId="48" xfId="28" applyNumberFormat="1" applyFont="1" applyBorder="1" applyAlignment="1" applyProtection="1">
      <alignment vertical="center" wrapText="1"/>
    </xf>
    <xf numFmtId="0" fontId="0" fillId="0" borderId="0" xfId="0" applyFont="1">
      <alignment vertical="center"/>
    </xf>
    <xf numFmtId="38" fontId="56" fillId="30" borderId="15" xfId="34" applyFont="1" applyFill="1" applyBorder="1" applyAlignment="1" applyProtection="1">
      <alignment vertical="center" wrapText="1"/>
      <protection locked="0"/>
    </xf>
    <xf numFmtId="38" fontId="56" fillId="30" borderId="64" xfId="34" applyFont="1" applyFill="1" applyBorder="1" applyAlignment="1" applyProtection="1">
      <alignment vertical="center" wrapText="1"/>
      <protection locked="0"/>
    </xf>
    <xf numFmtId="38" fontId="56" fillId="30" borderId="83" xfId="34" applyFont="1" applyFill="1" applyBorder="1" applyAlignment="1" applyProtection="1">
      <alignment vertical="center" wrapText="1"/>
      <protection locked="0"/>
    </xf>
    <xf numFmtId="38" fontId="56" fillId="30" borderId="61" xfId="34" applyFont="1" applyFill="1" applyBorder="1" applyAlignment="1" applyProtection="1">
      <alignment vertical="center" wrapText="1"/>
      <protection locked="0"/>
    </xf>
    <xf numFmtId="0" fontId="49" fillId="24" borderId="12" xfId="0" applyFont="1" applyFill="1" applyBorder="1" applyAlignment="1">
      <alignment horizontal="left" vertical="center"/>
    </xf>
    <xf numFmtId="0" fontId="40" fillId="24" borderId="0" xfId="0" applyFont="1" applyFill="1" applyAlignment="1">
      <alignment horizontal="left" vertical="top" wrapText="1"/>
    </xf>
    <xf numFmtId="0" fontId="66" fillId="0" borderId="91" xfId="0" applyFont="1" applyBorder="1" applyAlignment="1">
      <alignment horizontal="center" vertical="center"/>
    </xf>
    <xf numFmtId="0" fontId="66" fillId="29" borderId="0" xfId="0" applyFont="1" applyFill="1" applyAlignment="1">
      <alignment horizontal="center" vertical="center"/>
    </xf>
    <xf numFmtId="49" fontId="128" fillId="24" borderId="0" xfId="0" applyNumberFormat="1" applyFont="1" applyFill="1" applyAlignment="1">
      <alignment horizontal="left" vertical="top"/>
    </xf>
    <xf numFmtId="0" fontId="66" fillId="0" borderId="91" xfId="0" applyFont="1" applyFill="1" applyBorder="1" applyAlignment="1">
      <alignment vertical="center" wrapText="1"/>
    </xf>
    <xf numFmtId="0" fontId="66" fillId="0" borderId="91" xfId="0" applyFont="1" applyBorder="1">
      <alignment vertical="center"/>
    </xf>
    <xf numFmtId="38" fontId="111" fillId="0" borderId="0" xfId="34" applyFont="1" applyAlignment="1">
      <alignment vertical="center" wrapText="1"/>
    </xf>
    <xf numFmtId="0" fontId="66" fillId="24" borderId="0" xfId="0" applyFont="1" applyFill="1">
      <alignment vertical="center"/>
    </xf>
    <xf numFmtId="0" fontId="66" fillId="24" borderId="0" xfId="0" applyFont="1" applyFill="1" applyAlignment="1">
      <alignment vertical="center" wrapText="1"/>
    </xf>
    <xf numFmtId="38" fontId="66" fillId="24" borderId="0" xfId="34" applyFont="1" applyFill="1">
      <alignment vertical="center"/>
    </xf>
    <xf numFmtId="38" fontId="66" fillId="0" borderId="0" xfId="34" applyFont="1">
      <alignment vertical="center"/>
    </xf>
    <xf numFmtId="0" fontId="66" fillId="0" borderId="0" xfId="0" applyFont="1" applyAlignment="1">
      <alignment vertical="center" wrapText="1"/>
    </xf>
    <xf numFmtId="0" fontId="114" fillId="0" borderId="0" xfId="0" applyFont="1" applyAlignment="1">
      <alignment horizontal="center" vertical="center" wrapText="1"/>
    </xf>
    <xf numFmtId="0" fontId="66" fillId="0" borderId="10" xfId="0" applyFont="1" applyBorder="1" applyAlignment="1">
      <alignment vertical="center" wrapText="1"/>
    </xf>
    <xf numFmtId="38" fontId="66" fillId="0" borderId="10" xfId="34" applyFont="1" applyBorder="1" applyAlignment="1">
      <alignment vertical="center" wrapText="1"/>
    </xf>
    <xf numFmtId="0" fontId="66" fillId="0" borderId="10" xfId="0" applyFont="1" applyBorder="1">
      <alignment vertical="center"/>
    </xf>
    <xf numFmtId="38" fontId="66" fillId="0" borderId="10" xfId="34" applyFont="1" applyBorder="1">
      <alignment vertical="center"/>
    </xf>
    <xf numFmtId="184" fontId="66" fillId="0" borderId="10" xfId="0" applyNumberFormat="1" applyFont="1" applyBorder="1">
      <alignment vertical="center"/>
    </xf>
    <xf numFmtId="0" fontId="114" fillId="0" borderId="0" xfId="0" applyFont="1" applyProtection="1">
      <alignment vertical="center"/>
      <protection locked="0"/>
    </xf>
    <xf numFmtId="38" fontId="66" fillId="0" borderId="0" xfId="34" applyFont="1" applyAlignment="1">
      <alignment vertical="center" wrapText="1"/>
    </xf>
    <xf numFmtId="0" fontId="114" fillId="0" borderId="91" xfId="0" applyFont="1" applyBorder="1" applyProtection="1">
      <alignment vertical="center"/>
      <protection locked="0"/>
    </xf>
    <xf numFmtId="38" fontId="111" fillId="24" borderId="0" xfId="34" applyFont="1" applyFill="1">
      <alignment vertical="center"/>
    </xf>
    <xf numFmtId="38" fontId="111" fillId="24" borderId="0" xfId="34" applyFont="1" applyFill="1" applyAlignment="1">
      <alignment vertical="center" wrapText="1"/>
    </xf>
    <xf numFmtId="38" fontId="66" fillId="0" borderId="91" xfId="34" applyFont="1" applyFill="1" applyBorder="1" applyAlignment="1">
      <alignment vertical="center" wrapText="1"/>
    </xf>
    <xf numFmtId="38" fontId="66" fillId="0" borderId="91" xfId="34" applyFont="1" applyBorder="1">
      <alignment vertical="center"/>
    </xf>
    <xf numFmtId="0" fontId="32" fillId="25" borderId="33" xfId="0" applyFont="1" applyFill="1" applyBorder="1" applyAlignment="1">
      <alignment horizontal="left" vertical="center" wrapText="1"/>
    </xf>
    <xf numFmtId="38" fontId="66" fillId="24" borderId="0" xfId="0" applyNumberFormat="1" applyFont="1" applyFill="1">
      <alignment vertical="center"/>
    </xf>
    <xf numFmtId="0" fontId="0" fillId="0" borderId="0" xfId="0" applyFont="1" applyFill="1" applyBorder="1" applyAlignment="1">
      <alignment vertical="center"/>
    </xf>
    <xf numFmtId="3" fontId="124" fillId="31" borderId="42" xfId="0" applyNumberFormat="1" applyFont="1" applyFill="1" applyBorder="1" applyAlignment="1" applyProtection="1">
      <alignment horizontal="center" vertical="center" wrapText="1"/>
      <protection locked="0"/>
    </xf>
    <xf numFmtId="3" fontId="124" fillId="31" borderId="19" xfId="0" applyNumberFormat="1" applyFont="1" applyFill="1" applyBorder="1" applyProtection="1">
      <alignment vertical="center"/>
      <protection locked="0"/>
    </xf>
    <xf numFmtId="3" fontId="124" fillId="31" borderId="10" xfId="0" applyNumberFormat="1" applyFont="1" applyFill="1" applyBorder="1" applyAlignment="1" applyProtection="1">
      <alignment horizontal="center" vertical="center" wrapText="1"/>
      <protection locked="0"/>
    </xf>
    <xf numFmtId="3" fontId="124" fillId="31" borderId="20" xfId="0" applyNumberFormat="1" applyFont="1" applyFill="1" applyBorder="1" applyProtection="1">
      <alignment vertical="center"/>
      <protection locked="0"/>
    </xf>
    <xf numFmtId="0" fontId="44" fillId="28" borderId="50" xfId="0" applyFont="1" applyFill="1" applyBorder="1" applyAlignment="1" applyProtection="1">
      <alignment horizontal="center" vertical="center" wrapText="1"/>
      <protection locked="0"/>
    </xf>
    <xf numFmtId="0" fontId="41" fillId="0" borderId="177" xfId="0" applyFont="1" applyFill="1" applyBorder="1" applyAlignment="1" applyProtection="1">
      <alignment horizontal="center" vertical="center" wrapText="1"/>
      <protection locked="0"/>
    </xf>
    <xf numFmtId="0" fontId="42" fillId="28" borderId="55" xfId="0" applyFont="1" applyFill="1" applyBorder="1" applyAlignment="1" applyProtection="1">
      <alignment horizontal="center" vertical="center" wrapText="1"/>
      <protection locked="0"/>
    </xf>
    <xf numFmtId="0" fontId="42" fillId="28" borderId="73" xfId="0" applyFont="1" applyFill="1" applyBorder="1" applyAlignment="1" applyProtection="1">
      <alignment horizontal="center" vertical="center" wrapText="1"/>
      <protection locked="0"/>
    </xf>
    <xf numFmtId="0" fontId="32" fillId="29" borderId="33" xfId="0" applyFont="1" applyFill="1" applyBorder="1" applyAlignment="1">
      <alignment horizontal="left" vertical="center" wrapText="1"/>
    </xf>
    <xf numFmtId="0" fontId="33" fillId="0" borderId="50" xfId="0" applyFont="1" applyBorder="1">
      <alignment vertical="center"/>
    </xf>
    <xf numFmtId="177" fontId="125" fillId="29" borderId="10" xfId="43" applyNumberFormat="1" applyFont="1" applyFill="1" applyBorder="1" applyAlignment="1">
      <alignment vertical="center"/>
    </xf>
    <xf numFmtId="49" fontId="42" fillId="27" borderId="39" xfId="0" applyNumberFormat="1" applyFont="1" applyFill="1" applyBorder="1" applyAlignment="1" applyProtection="1">
      <alignment horizontal="center" vertical="center"/>
      <protection locked="0"/>
    </xf>
    <xf numFmtId="49" fontId="42" fillId="27" borderId="21" xfId="0" applyNumberFormat="1" applyFont="1" applyFill="1" applyBorder="1" applyAlignment="1" applyProtection="1">
      <alignment horizontal="center" vertical="center"/>
      <protection locked="0"/>
    </xf>
    <xf numFmtId="49" fontId="42" fillId="27" borderId="53" xfId="0" applyNumberFormat="1" applyFont="1" applyFill="1" applyBorder="1" applyAlignment="1" applyProtection="1">
      <alignment horizontal="center" vertical="center"/>
      <protection locked="0"/>
    </xf>
    <xf numFmtId="0" fontId="42" fillId="27" borderId="12" xfId="0" applyFont="1" applyFill="1" applyBorder="1" applyAlignment="1" applyProtection="1">
      <alignment vertical="center" wrapText="1"/>
      <protection locked="0"/>
    </xf>
    <xf numFmtId="0" fontId="42" fillId="27" borderId="29" xfId="0" applyFont="1" applyFill="1" applyBorder="1" applyAlignment="1" applyProtection="1">
      <alignment vertical="center" wrapText="1"/>
      <protection locked="0"/>
    </xf>
    <xf numFmtId="0" fontId="42" fillId="27" borderId="11" xfId="0" applyFont="1" applyFill="1" applyBorder="1" applyAlignment="1" applyProtection="1">
      <alignment vertical="center" wrapText="1"/>
      <protection locked="0"/>
    </xf>
    <xf numFmtId="0" fontId="42" fillId="27" borderId="10" xfId="0" applyFont="1" applyFill="1" applyBorder="1" applyAlignment="1" applyProtection="1">
      <alignment vertical="center"/>
      <protection locked="0"/>
    </xf>
    <xf numFmtId="0" fontId="42" fillId="27" borderId="12" xfId="0" applyFont="1" applyFill="1" applyBorder="1" applyAlignment="1" applyProtection="1">
      <alignment horizontal="center" vertical="center" wrapText="1"/>
      <protection locked="0"/>
    </xf>
    <xf numFmtId="0" fontId="42" fillId="27" borderId="29" xfId="0" applyFont="1" applyFill="1" applyBorder="1" applyAlignment="1" applyProtection="1">
      <alignment horizontal="center" vertical="center" wrapText="1"/>
      <protection locked="0"/>
    </xf>
    <xf numFmtId="0" fontId="42" fillId="27" borderId="11" xfId="0" applyFont="1" applyFill="1" applyBorder="1" applyAlignment="1" applyProtection="1">
      <alignment horizontal="center" vertical="center" wrapText="1"/>
      <protection locked="0"/>
    </xf>
    <xf numFmtId="0" fontId="42" fillId="27" borderId="10" xfId="0" applyFont="1" applyFill="1" applyBorder="1" applyAlignment="1" applyProtection="1">
      <alignment horizontal="center" vertical="center" wrapText="1"/>
      <protection locked="0"/>
    </xf>
    <xf numFmtId="0" fontId="42" fillId="0" borderId="13" xfId="0" applyFont="1" applyBorder="1" applyAlignment="1">
      <alignment horizontal="center" vertical="center" wrapText="1"/>
    </xf>
    <xf numFmtId="0" fontId="42" fillId="0" borderId="44" xfId="0" applyFont="1" applyBorder="1" applyAlignment="1">
      <alignment horizontal="center" vertical="center" wrapText="1"/>
    </xf>
    <xf numFmtId="0" fontId="34" fillId="0" borderId="0" xfId="0" applyFont="1" applyAlignment="1">
      <alignment horizontal="left" vertical="center" wrapText="1"/>
    </xf>
    <xf numFmtId="0" fontId="31" fillId="24" borderId="13" xfId="0" applyFont="1" applyFill="1" applyBorder="1" applyAlignment="1">
      <alignment horizontal="center" vertical="center" wrapText="1"/>
    </xf>
    <xf numFmtId="0" fontId="31" fillId="24" borderId="44" xfId="0" applyFont="1" applyFill="1" applyBorder="1" applyAlignment="1">
      <alignment horizontal="center" vertical="center" wrapText="1"/>
    </xf>
    <xf numFmtId="0" fontId="32" fillId="0" borderId="10" xfId="0" applyFont="1" applyBorder="1" applyAlignment="1">
      <alignment horizontal="left" vertical="center" wrapText="1"/>
    </xf>
    <xf numFmtId="0" fontId="32" fillId="0" borderId="12" xfId="0" applyFont="1" applyBorder="1" applyAlignment="1">
      <alignment horizontal="left" vertical="center" wrapText="1"/>
    </xf>
    <xf numFmtId="0" fontId="42" fillId="0" borderId="10" xfId="0" applyFont="1" applyBorder="1" applyAlignment="1">
      <alignment horizontal="center" vertical="center" wrapText="1"/>
    </xf>
    <xf numFmtId="0" fontId="42" fillId="27" borderId="42" xfId="0" applyFont="1" applyFill="1" applyBorder="1" applyAlignment="1" applyProtection="1">
      <alignment horizontal="center" vertical="center" wrapText="1"/>
      <protection locked="0"/>
    </xf>
    <xf numFmtId="0" fontId="42" fillId="27" borderId="24" xfId="0" applyFont="1" applyFill="1" applyBorder="1" applyAlignment="1" applyProtection="1">
      <alignment horizontal="center" vertical="center" wrapText="1"/>
      <protection locked="0"/>
    </xf>
    <xf numFmtId="0" fontId="44" fillId="0" borderId="0" xfId="0" applyFont="1" applyAlignment="1">
      <alignment horizontal="left" vertical="center" wrapText="1"/>
    </xf>
    <xf numFmtId="0" fontId="36" fillId="27" borderId="12" xfId="0" applyFont="1" applyFill="1" applyBorder="1" applyAlignment="1" applyProtection="1">
      <alignment horizontal="left" vertical="center"/>
      <protection locked="0"/>
    </xf>
    <xf numFmtId="0" fontId="36" fillId="27" borderId="29" xfId="0" applyFont="1" applyFill="1" applyBorder="1" applyAlignment="1" applyProtection="1">
      <alignment horizontal="left" vertical="center"/>
      <protection locked="0"/>
    </xf>
    <xf numFmtId="0" fontId="36" fillId="27" borderId="11" xfId="0" applyFont="1" applyFill="1" applyBorder="1" applyAlignment="1" applyProtection="1">
      <alignment horizontal="left" vertical="center"/>
      <protection locked="0"/>
    </xf>
    <xf numFmtId="0" fontId="42" fillId="0" borderId="10" xfId="0" applyFont="1" applyBorder="1" applyAlignment="1">
      <alignment horizontal="left" vertical="center"/>
    </xf>
    <xf numFmtId="0" fontId="0" fillId="0" borderId="0" xfId="0" applyFont="1" applyAlignment="1">
      <alignment horizontal="left" vertical="top" wrapText="1"/>
    </xf>
    <xf numFmtId="0" fontId="37" fillId="0" borderId="0" xfId="0" applyFont="1" applyAlignment="1">
      <alignment horizontal="center" vertical="center" wrapText="1"/>
    </xf>
    <xf numFmtId="0" fontId="42" fillId="0" borderId="13" xfId="0" applyFont="1" applyBorder="1" applyAlignment="1">
      <alignment horizontal="center" vertical="center" wrapText="1" shrinkToFit="1"/>
    </xf>
    <xf numFmtId="0" fontId="42" fillId="0" borderId="38" xfId="0" applyFont="1" applyBorder="1" applyAlignment="1">
      <alignment horizontal="center" vertical="center" wrapText="1" shrinkToFit="1"/>
    </xf>
    <xf numFmtId="0" fontId="42" fillId="0" borderId="13" xfId="0" applyFont="1" applyBorder="1" applyAlignment="1">
      <alignment horizontal="center" vertical="center"/>
    </xf>
    <xf numFmtId="0" fontId="42" fillId="0" borderId="38" xfId="0" applyFont="1" applyBorder="1" applyAlignment="1">
      <alignment horizontal="center" vertical="center"/>
    </xf>
    <xf numFmtId="0" fontId="42" fillId="0" borderId="29" xfId="0" applyFont="1" applyBorder="1" applyAlignment="1">
      <alignment horizontal="left" vertical="center"/>
    </xf>
    <xf numFmtId="0" fontId="42" fillId="0" borderId="11" xfId="0" applyFont="1" applyBorder="1" applyAlignment="1">
      <alignment horizontal="left" vertical="center"/>
    </xf>
    <xf numFmtId="0" fontId="42" fillId="0" borderId="13" xfId="0" applyFont="1" applyBorder="1" applyAlignment="1">
      <alignment horizontal="left" vertical="center" wrapText="1"/>
    </xf>
    <xf numFmtId="0" fontId="42" fillId="0" borderId="38" xfId="0" applyFont="1" applyBorder="1" applyAlignment="1">
      <alignment horizontal="left" vertical="center" wrapText="1"/>
    </xf>
    <xf numFmtId="0" fontId="35" fillId="27" borderId="12" xfId="48" applyFill="1" applyBorder="1" applyAlignment="1" applyProtection="1">
      <alignment horizontal="left" vertical="center"/>
      <protection locked="0"/>
    </xf>
    <xf numFmtId="0" fontId="35" fillId="27" borderId="29" xfId="48" applyFill="1" applyBorder="1" applyAlignment="1" applyProtection="1">
      <alignment horizontal="left" vertical="center"/>
      <protection locked="0"/>
    </xf>
    <xf numFmtId="0" fontId="35" fillId="27" borderId="11" xfId="48" applyFill="1" applyBorder="1" applyAlignment="1" applyProtection="1">
      <alignment horizontal="left" vertical="center"/>
      <protection locked="0"/>
    </xf>
    <xf numFmtId="0" fontId="42" fillId="0" borderId="10" xfId="0" applyFont="1" applyBorder="1" applyAlignment="1">
      <alignment vertical="center"/>
    </xf>
    <xf numFmtId="0" fontId="34" fillId="0" borderId="17" xfId="0" applyFont="1" applyBorder="1" applyAlignment="1">
      <alignment horizontal="left" vertical="center"/>
    </xf>
    <xf numFmtId="0" fontId="42" fillId="0" borderId="12" xfId="0" applyFont="1" applyBorder="1" applyAlignment="1">
      <alignment horizontal="center" vertical="center"/>
    </xf>
    <xf numFmtId="0" fontId="42" fillId="0" borderId="29" xfId="0" applyFont="1" applyBorder="1" applyAlignment="1">
      <alignment horizontal="center" vertical="center"/>
    </xf>
    <xf numFmtId="0" fontId="42" fillId="0" borderId="11" xfId="0" applyFont="1" applyBorder="1" applyAlignment="1">
      <alignment horizontal="center" vertical="center"/>
    </xf>
    <xf numFmtId="0" fontId="42" fillId="0" borderId="13" xfId="0" applyFont="1" applyBorder="1" applyAlignment="1">
      <alignment horizontal="left" vertical="center"/>
    </xf>
    <xf numFmtId="0" fontId="42" fillId="0" borderId="38" xfId="0" applyFont="1" applyBorder="1" applyAlignment="1">
      <alignment horizontal="left" vertical="center"/>
    </xf>
    <xf numFmtId="0" fontId="123" fillId="27" borderId="12" xfId="0" applyFont="1" applyFill="1" applyBorder="1" applyAlignment="1" applyProtection="1">
      <alignment horizontal="center" vertical="center"/>
      <protection locked="0"/>
    </xf>
    <xf numFmtId="0" fontId="123" fillId="27" borderId="29" xfId="0" applyFont="1" applyFill="1" applyBorder="1" applyAlignment="1" applyProtection="1">
      <alignment horizontal="center" vertical="center"/>
      <protection locked="0"/>
    </xf>
    <xf numFmtId="0" fontId="123" fillId="27" borderId="11" xfId="0" applyFont="1" applyFill="1" applyBorder="1" applyAlignment="1" applyProtection="1">
      <alignment horizontal="center" vertical="center"/>
      <protection locked="0"/>
    </xf>
    <xf numFmtId="0" fontId="39" fillId="27" borderId="12" xfId="0" applyFont="1" applyFill="1" applyBorder="1" applyAlignment="1" applyProtection="1">
      <alignment horizontal="left" vertical="center" wrapText="1"/>
      <protection locked="0"/>
    </xf>
    <xf numFmtId="0" fontId="39" fillId="27" borderId="29" xfId="0" applyFont="1" applyFill="1" applyBorder="1" applyAlignment="1" applyProtection="1">
      <alignment horizontal="left" vertical="center" wrapText="1"/>
      <protection locked="0"/>
    </xf>
    <xf numFmtId="0" fontId="39" fillId="27" borderId="11" xfId="0" applyFont="1" applyFill="1" applyBorder="1" applyAlignment="1" applyProtection="1">
      <alignment horizontal="left" vertical="center" wrapText="1"/>
      <protection locked="0"/>
    </xf>
    <xf numFmtId="0" fontId="39" fillId="27" borderId="12" xfId="0" applyFont="1" applyFill="1" applyBorder="1" applyAlignment="1" applyProtection="1">
      <alignment horizontal="left" vertical="center"/>
      <protection locked="0"/>
    </xf>
    <xf numFmtId="0" fontId="39" fillId="27" borderId="29" xfId="0" applyFont="1" applyFill="1" applyBorder="1" applyAlignment="1" applyProtection="1">
      <alignment horizontal="left" vertical="center"/>
      <protection locked="0"/>
    </xf>
    <xf numFmtId="0" fontId="39" fillId="27" borderId="11" xfId="0" applyFont="1" applyFill="1" applyBorder="1" applyAlignment="1" applyProtection="1">
      <alignment horizontal="left" vertical="center"/>
      <protection locked="0"/>
    </xf>
    <xf numFmtId="0" fontId="42" fillId="0" borderId="44" xfId="0" applyFont="1" applyBorder="1" applyAlignment="1">
      <alignment horizontal="center" vertical="center"/>
    </xf>
    <xf numFmtId="0" fontId="42" fillId="0" borderId="10" xfId="0" applyFont="1" applyBorder="1" applyAlignment="1">
      <alignment horizontal="left" vertical="center" wrapText="1"/>
    </xf>
    <xf numFmtId="0" fontId="42" fillId="0" borderId="14" xfId="0" applyFont="1" applyBorder="1" applyAlignment="1">
      <alignment horizontal="center" vertical="center" wrapText="1"/>
    </xf>
    <xf numFmtId="0" fontId="42" fillId="0" borderId="90" xfId="0" applyFont="1" applyBorder="1" applyAlignment="1">
      <alignment horizontal="center" vertical="center" wrapText="1"/>
    </xf>
    <xf numFmtId="0" fontId="42" fillId="0" borderId="84" xfId="0" applyFont="1" applyBorder="1" applyAlignment="1">
      <alignment horizontal="center" vertical="center" wrapText="1"/>
    </xf>
    <xf numFmtId="0" fontId="42" fillId="0" borderId="27" xfId="0" applyFont="1" applyBorder="1" applyAlignment="1">
      <alignment horizontal="center" vertical="center" wrapText="1"/>
    </xf>
    <xf numFmtId="0" fontId="42" fillId="0" borderId="0" xfId="0" applyFont="1" applyAlignment="1">
      <alignment horizontal="center" vertical="center" wrapText="1"/>
    </xf>
    <xf numFmtId="0" fontId="42" fillId="0" borderId="15" xfId="0" applyFont="1" applyBorder="1" applyAlignment="1">
      <alignment horizontal="center" vertical="center" wrapText="1"/>
    </xf>
    <xf numFmtId="0" fontId="42" fillId="27" borderId="42" xfId="0" applyFont="1" applyFill="1" applyBorder="1" applyAlignment="1" applyProtection="1">
      <alignment vertical="center"/>
      <protection locked="0"/>
    </xf>
    <xf numFmtId="49" fontId="34" fillId="27" borderId="14" xfId="0" applyNumberFormat="1" applyFont="1" applyFill="1" applyBorder="1" applyAlignment="1" applyProtection="1">
      <alignment horizontal="center" vertical="center"/>
      <protection locked="0"/>
    </xf>
    <xf numFmtId="49" fontId="34" fillId="27" borderId="90" xfId="0" applyNumberFormat="1" applyFont="1" applyFill="1" applyBorder="1" applyAlignment="1" applyProtection="1">
      <alignment horizontal="center" vertical="center"/>
      <protection locked="0"/>
    </xf>
    <xf numFmtId="49" fontId="34" fillId="27" borderId="80" xfId="0" applyNumberFormat="1" applyFont="1" applyFill="1" applyBorder="1" applyAlignment="1" applyProtection="1">
      <alignment horizontal="center" vertical="center"/>
      <protection locked="0"/>
    </xf>
    <xf numFmtId="49" fontId="34" fillId="27" borderId="85" xfId="0" quotePrefix="1" applyNumberFormat="1" applyFont="1" applyFill="1" applyBorder="1" applyAlignment="1" applyProtection="1">
      <alignment horizontal="center" vertical="center"/>
      <protection locked="0"/>
    </xf>
    <xf numFmtId="49" fontId="34" fillId="27" borderId="29" xfId="0" quotePrefix="1" applyNumberFormat="1" applyFont="1" applyFill="1" applyBorder="1" applyAlignment="1" applyProtection="1">
      <alignment horizontal="center" vertical="center"/>
      <protection locked="0"/>
    </xf>
    <xf numFmtId="49" fontId="34" fillId="27" borderId="11" xfId="0" quotePrefix="1" applyNumberFormat="1" applyFont="1" applyFill="1" applyBorder="1" applyAlignment="1" applyProtection="1">
      <alignment horizontal="center" vertical="center"/>
      <protection locked="0"/>
    </xf>
    <xf numFmtId="49" fontId="36" fillId="27" borderId="12" xfId="0" applyNumberFormat="1" applyFont="1" applyFill="1" applyBorder="1" applyAlignment="1" applyProtection="1">
      <alignment horizontal="left" vertical="center"/>
      <protection locked="0"/>
    </xf>
    <xf numFmtId="49" fontId="36" fillId="27" borderId="29" xfId="0" applyNumberFormat="1" applyFont="1" applyFill="1" applyBorder="1" applyAlignment="1" applyProtection="1">
      <alignment horizontal="left" vertical="center"/>
      <protection locked="0"/>
    </xf>
    <xf numFmtId="49" fontId="36" fillId="27" borderId="11" xfId="0" applyNumberFormat="1" applyFont="1" applyFill="1" applyBorder="1" applyAlignment="1" applyProtection="1">
      <alignment horizontal="left" vertical="center"/>
      <protection locked="0"/>
    </xf>
    <xf numFmtId="0" fontId="42" fillId="27" borderId="51" xfId="0" applyFont="1" applyFill="1" applyBorder="1" applyAlignment="1" applyProtection="1">
      <alignment vertical="center" wrapText="1"/>
      <protection locked="0"/>
    </xf>
    <xf numFmtId="0" fontId="42" fillId="27" borderId="21" xfId="0" applyFont="1" applyFill="1" applyBorder="1" applyAlignment="1" applyProtection="1">
      <alignment vertical="center" wrapText="1"/>
      <protection locked="0"/>
    </xf>
    <xf numFmtId="0" fontId="42" fillId="27" borderId="53" xfId="0" applyFont="1" applyFill="1" applyBorder="1" applyAlignment="1" applyProtection="1">
      <alignment vertical="center" wrapText="1"/>
      <protection locked="0"/>
    </xf>
    <xf numFmtId="0" fontId="42" fillId="27" borderId="10" xfId="0" applyFont="1" applyFill="1" applyBorder="1" applyAlignment="1" applyProtection="1">
      <alignment vertical="center" wrapText="1"/>
      <protection locked="0"/>
    </xf>
    <xf numFmtId="49" fontId="42" fillId="27" borderId="40" xfId="0" applyNumberFormat="1" applyFont="1" applyFill="1" applyBorder="1" applyAlignment="1" applyProtection="1">
      <alignment horizontal="center" vertical="center"/>
      <protection locked="0"/>
    </xf>
    <xf numFmtId="49" fontId="42" fillId="27" borderId="10" xfId="0" applyNumberFormat="1" applyFont="1" applyFill="1" applyBorder="1" applyAlignment="1" applyProtection="1">
      <alignment horizontal="center" vertical="center"/>
      <protection locked="0"/>
    </xf>
    <xf numFmtId="0" fontId="42" fillId="0" borderId="13" xfId="0" applyFont="1" applyBorder="1" applyAlignment="1">
      <alignment horizontal="center" vertical="center" textRotation="255"/>
    </xf>
    <xf numFmtId="0" fontId="42" fillId="0" borderId="44" xfId="0" applyFont="1" applyBorder="1" applyAlignment="1">
      <alignment horizontal="center" vertical="center" textRotation="255"/>
    </xf>
    <xf numFmtId="0" fontId="42" fillId="0" borderId="14" xfId="0" applyFont="1" applyBorder="1" applyAlignment="1">
      <alignment horizontal="center" vertical="center"/>
    </xf>
    <xf numFmtId="0" fontId="42" fillId="0" borderId="16" xfId="0" applyFont="1" applyBorder="1" applyAlignment="1">
      <alignment horizontal="center" vertical="center"/>
    </xf>
    <xf numFmtId="0" fontId="42" fillId="0" borderId="12" xfId="0" applyFont="1" applyBorder="1" applyAlignment="1">
      <alignment horizontal="center" vertical="center" wrapText="1"/>
    </xf>
    <xf numFmtId="0" fontId="42" fillId="0" borderId="29" xfId="0" applyFont="1" applyBorder="1" applyAlignment="1">
      <alignment horizontal="center" vertical="center" wrapText="1"/>
    </xf>
    <xf numFmtId="0" fontId="42" fillId="0" borderId="11" xfId="0" applyFont="1" applyBorder="1" applyAlignment="1">
      <alignment horizontal="center" vertical="center" wrapText="1"/>
    </xf>
    <xf numFmtId="0" fontId="31" fillId="24" borderId="84" xfId="0" applyFont="1" applyFill="1" applyBorder="1" applyAlignment="1">
      <alignment horizontal="center" vertical="center" wrapText="1"/>
    </xf>
    <xf numFmtId="0" fontId="31" fillId="24" borderId="15" xfId="0" applyFont="1" applyFill="1" applyBorder="1" applyAlignment="1">
      <alignment horizontal="center" vertical="center" wrapText="1"/>
    </xf>
    <xf numFmtId="0" fontId="42" fillId="27" borderId="63" xfId="0" applyFont="1" applyFill="1" applyBorder="1" applyAlignment="1" applyProtection="1">
      <alignment horizontal="center" vertical="center" wrapText="1"/>
      <protection locked="0"/>
    </xf>
    <xf numFmtId="0" fontId="42" fillId="27" borderId="30" xfId="0" applyFont="1" applyFill="1" applyBorder="1" applyAlignment="1" applyProtection="1">
      <alignment horizontal="center" vertical="center" wrapText="1"/>
      <protection locked="0"/>
    </xf>
    <xf numFmtId="0" fontId="42" fillId="27" borderId="64" xfId="0" applyFont="1" applyFill="1" applyBorder="1" applyAlignment="1" applyProtection="1">
      <alignment horizontal="center" vertical="center" wrapText="1"/>
      <protection locked="0"/>
    </xf>
    <xf numFmtId="0" fontId="46" fillId="26" borderId="12" xfId="0" applyFont="1" applyFill="1" applyBorder="1" applyAlignment="1">
      <alignment horizontal="center" vertical="center"/>
    </xf>
    <xf numFmtId="0" fontId="46" fillId="26" borderId="29" xfId="0" applyFont="1" applyFill="1" applyBorder="1" applyAlignment="1">
      <alignment horizontal="center" vertical="center"/>
    </xf>
    <xf numFmtId="0" fontId="46" fillId="26" borderId="11" xfId="0" applyFont="1" applyFill="1" applyBorder="1" applyAlignment="1">
      <alignment horizontal="center" vertical="center"/>
    </xf>
    <xf numFmtId="0" fontId="49" fillId="0" borderId="119" xfId="0" applyFont="1" applyBorder="1" applyAlignment="1">
      <alignment horizontal="left" vertical="center" wrapText="1"/>
    </xf>
    <xf numFmtId="0" fontId="49" fillId="0" borderId="35" xfId="0" applyFont="1" applyBorder="1" applyAlignment="1">
      <alignment horizontal="left" vertical="center" wrapText="1"/>
    </xf>
    <xf numFmtId="0" fontId="49" fillId="0" borderId="36" xfId="0" applyFont="1" applyBorder="1" applyAlignment="1">
      <alignment horizontal="left" vertical="center" wrapText="1"/>
    </xf>
    <xf numFmtId="0" fontId="49" fillId="0" borderId="120" xfId="0" applyFont="1" applyBorder="1" applyAlignment="1">
      <alignment horizontal="left" vertical="center" wrapText="1"/>
    </xf>
    <xf numFmtId="0" fontId="49" fillId="0" borderId="66" xfId="0" applyFont="1" applyBorder="1" applyAlignment="1">
      <alignment horizontal="left" vertical="center" wrapText="1"/>
    </xf>
    <xf numFmtId="0" fontId="49" fillId="0" borderId="121" xfId="0" applyFont="1" applyBorder="1" applyAlignment="1">
      <alignment horizontal="left" vertical="center" wrapText="1"/>
    </xf>
    <xf numFmtId="0" fontId="49" fillId="24" borderId="11" xfId="0" applyFont="1" applyFill="1" applyBorder="1" applyAlignment="1">
      <alignment horizontal="left" vertical="center" wrapText="1"/>
    </xf>
    <xf numFmtId="0" fontId="49" fillId="24" borderId="10" xfId="0" applyFont="1" applyFill="1" applyBorder="1" applyAlignment="1">
      <alignment horizontal="left" vertical="center" wrapText="1"/>
    </xf>
    <xf numFmtId="0" fontId="49" fillId="24" borderId="12" xfId="0" applyFont="1" applyFill="1" applyBorder="1" applyAlignment="1">
      <alignment horizontal="left" vertical="center" wrapText="1"/>
    </xf>
    <xf numFmtId="0" fontId="49" fillId="24" borderId="11" xfId="0" applyFont="1" applyFill="1" applyBorder="1" applyAlignment="1">
      <alignment horizontal="left" vertical="center"/>
    </xf>
    <xf numFmtId="0" fontId="49" fillId="24" borderId="10" xfId="0" applyFont="1" applyFill="1" applyBorder="1" applyAlignment="1">
      <alignment horizontal="left" vertical="center"/>
    </xf>
    <xf numFmtId="0" fontId="49" fillId="24" borderId="12" xfId="0" applyFont="1" applyFill="1" applyBorder="1" applyAlignment="1">
      <alignment horizontal="left" vertical="center"/>
    </xf>
    <xf numFmtId="0" fontId="31" fillId="0" borderId="109" xfId="0" quotePrefix="1" applyFont="1" applyBorder="1" applyAlignment="1">
      <alignment horizontal="center" vertical="center"/>
    </xf>
    <xf numFmtId="0" fontId="49" fillId="0" borderId="116" xfId="0" applyFont="1" applyBorder="1" applyAlignment="1">
      <alignment horizontal="center" vertical="center"/>
    </xf>
    <xf numFmtId="0" fontId="49" fillId="0" borderId="117" xfId="0" applyFont="1" applyBorder="1" applyAlignment="1">
      <alignment horizontal="center" vertical="center"/>
    </xf>
    <xf numFmtId="0" fontId="49" fillId="0" borderId="118" xfId="0" applyFont="1" applyBorder="1" applyAlignment="1">
      <alignment horizontal="center" vertical="center"/>
    </xf>
    <xf numFmtId="0" fontId="49" fillId="0" borderId="132" xfId="0" applyFont="1" applyBorder="1" applyAlignment="1">
      <alignment horizontal="center" vertical="center"/>
    </xf>
    <xf numFmtId="0" fontId="49" fillId="0" borderId="133" xfId="0" applyFont="1" applyBorder="1" applyAlignment="1">
      <alignment horizontal="center" vertical="center"/>
    </xf>
    <xf numFmtId="0" fontId="49" fillId="0" borderId="134" xfId="0" applyFont="1" applyBorder="1" applyAlignment="1">
      <alignment horizontal="center" vertical="center"/>
    </xf>
    <xf numFmtId="0" fontId="49" fillId="0" borderId="112" xfId="0" applyFont="1" applyBorder="1" applyAlignment="1">
      <alignment horizontal="left" vertical="center" wrapText="1"/>
    </xf>
    <xf numFmtId="0" fontId="49" fillId="0" borderId="113" xfId="0" applyFont="1" applyBorder="1" applyAlignment="1">
      <alignment horizontal="left" vertical="center" wrapText="1"/>
    </xf>
    <xf numFmtId="0" fontId="49" fillId="0" borderId="112" xfId="0" applyFont="1" applyBorder="1" applyAlignment="1">
      <alignment horizontal="left" vertical="center"/>
    </xf>
    <xf numFmtId="0" fontId="49" fillId="0" borderId="113" xfId="0" applyFont="1" applyBorder="1" applyAlignment="1">
      <alignment horizontal="left" vertical="center"/>
    </xf>
    <xf numFmtId="0" fontId="40" fillId="0" borderId="130" xfId="0" applyFont="1" applyBorder="1" applyAlignment="1">
      <alignment horizontal="center" vertical="center"/>
    </xf>
    <xf numFmtId="0" fontId="40" fillId="0" borderId="130" xfId="0" applyFont="1" applyBorder="1" applyAlignment="1">
      <alignment horizontal="left" vertical="center" wrapText="1"/>
    </xf>
    <xf numFmtId="0" fontId="40" fillId="0" borderId="131" xfId="0" applyFont="1" applyBorder="1" applyAlignment="1">
      <alignment horizontal="left" vertical="center" wrapText="1"/>
    </xf>
    <xf numFmtId="0" fontId="49" fillId="0" borderId="110" xfId="0" applyFont="1" applyBorder="1" applyAlignment="1">
      <alignment horizontal="center" vertical="center"/>
    </xf>
    <xf numFmtId="0" fontId="49" fillId="0" borderId="100" xfId="0" applyFont="1" applyBorder="1" applyAlignment="1">
      <alignment horizontal="center" vertical="center"/>
    </xf>
    <xf numFmtId="0" fontId="49" fillId="0" borderId="111" xfId="0" applyFont="1" applyBorder="1" applyAlignment="1">
      <alignment horizontal="center" vertical="center"/>
    </xf>
    <xf numFmtId="0" fontId="49" fillId="0" borderId="12" xfId="0" applyFont="1" applyBorder="1" applyAlignment="1">
      <alignment horizontal="center" vertical="center"/>
    </xf>
    <xf numFmtId="0" fontId="49" fillId="0" borderId="29" xfId="0" applyFont="1" applyBorder="1" applyAlignment="1">
      <alignment horizontal="center" vertical="center"/>
    </xf>
    <xf numFmtId="0" fontId="49" fillId="0" borderId="11" xfId="0" applyFont="1" applyBorder="1" applyAlignment="1">
      <alignment horizontal="center" vertical="center"/>
    </xf>
    <xf numFmtId="0" fontId="49" fillId="0" borderId="119" xfId="0" applyFont="1" applyBorder="1" applyAlignment="1">
      <alignment horizontal="center" vertical="center"/>
    </xf>
    <xf numFmtId="0" fontId="49" fillId="0" borderId="35" xfId="0" applyFont="1" applyBorder="1" applyAlignment="1">
      <alignment horizontal="center" vertical="center"/>
    </xf>
    <xf numFmtId="0" fontId="49" fillId="0" borderId="122" xfId="0" applyFont="1" applyBorder="1" applyAlignment="1">
      <alignment horizontal="center" vertical="center"/>
    </xf>
    <xf numFmtId="0" fontId="52" fillId="24" borderId="0" xfId="0" applyFont="1" applyFill="1" applyAlignment="1">
      <alignment horizontal="center" vertical="center" wrapText="1"/>
    </xf>
    <xf numFmtId="0" fontId="47" fillId="24" borderId="0" xfId="0" applyFont="1" applyFill="1" applyAlignment="1">
      <alignment horizontal="center" vertical="center"/>
    </xf>
    <xf numFmtId="0" fontId="52" fillId="0" borderId="0" xfId="0" applyFont="1" applyAlignment="1">
      <alignment vertical="center" shrinkToFit="1"/>
    </xf>
    <xf numFmtId="0" fontId="47" fillId="24" borderId="0" xfId="0" applyFont="1" applyFill="1" applyAlignment="1">
      <alignment horizontal="center" vertical="center" shrinkToFit="1"/>
    </xf>
    <xf numFmtId="0" fontId="40" fillId="0" borderId="0" xfId="0" applyFont="1" applyAlignment="1">
      <alignment horizontal="left" vertical="center" wrapText="1"/>
    </xf>
    <xf numFmtId="0" fontId="52" fillId="24" borderId="0" xfId="0" applyFont="1" applyFill="1" applyAlignment="1">
      <alignment horizontal="left" vertical="center" wrapText="1"/>
    </xf>
    <xf numFmtId="0" fontId="52" fillId="28" borderId="0" xfId="0" applyFont="1" applyFill="1" applyAlignment="1" applyProtection="1">
      <alignment horizontal="center" vertical="center"/>
      <protection locked="0"/>
    </xf>
    <xf numFmtId="0" fontId="34" fillId="28" borderId="0" xfId="0" applyFont="1" applyFill="1" applyAlignment="1" applyProtection="1">
      <alignment horizontal="center" vertical="center"/>
      <protection locked="0"/>
    </xf>
    <xf numFmtId="0" fontId="52" fillId="24" borderId="0" xfId="0" applyFont="1" applyFill="1" applyAlignment="1">
      <alignment horizontal="center" vertical="center"/>
    </xf>
    <xf numFmtId="0" fontId="52" fillId="24" borderId="0" xfId="0" applyFont="1" applyFill="1" applyAlignment="1">
      <alignment horizontal="left" vertical="center" shrinkToFit="1"/>
    </xf>
    <xf numFmtId="0" fontId="40" fillId="24" borderId="33" xfId="0" applyFont="1" applyFill="1" applyBorder="1" applyAlignment="1">
      <alignment horizontal="left" vertical="center" wrapText="1"/>
    </xf>
    <xf numFmtId="0" fontId="40" fillId="24" borderId="29" xfId="0" applyFont="1" applyFill="1" applyBorder="1" applyAlignment="1">
      <alignment horizontal="left" vertical="center" wrapText="1"/>
    </xf>
    <xf numFmtId="0" fontId="40" fillId="24" borderId="11" xfId="0" applyFont="1" applyFill="1" applyBorder="1" applyAlignment="1">
      <alignment horizontal="left" vertical="center" wrapText="1"/>
    </xf>
    <xf numFmtId="0" fontId="40" fillId="0" borderId="11" xfId="0" applyFont="1" applyBorder="1" applyAlignment="1">
      <alignment horizontal="left" vertical="center" wrapText="1"/>
    </xf>
    <xf numFmtId="0" fontId="40" fillId="0" borderId="10" xfId="0" applyFont="1" applyBorder="1" applyAlignment="1">
      <alignment horizontal="left" vertical="center" wrapText="1"/>
    </xf>
    <xf numFmtId="0" fontId="40" fillId="24" borderId="33" xfId="0" applyFont="1" applyFill="1" applyBorder="1" applyAlignment="1">
      <alignment horizontal="left" vertical="center"/>
    </xf>
    <xf numFmtId="0" fontId="40" fillId="24" borderId="29" xfId="0" applyFont="1" applyFill="1" applyBorder="1" applyAlignment="1">
      <alignment horizontal="left" vertical="center"/>
    </xf>
    <xf numFmtId="0" fontId="40" fillId="24" borderId="11" xfId="0" applyFont="1" applyFill="1" applyBorder="1" applyAlignment="1">
      <alignment horizontal="left" vertical="center"/>
    </xf>
    <xf numFmtId="0" fontId="40" fillId="0" borderId="11" xfId="0" applyFont="1" applyBorder="1" applyAlignment="1">
      <alignment horizontal="left" vertical="center"/>
    </xf>
    <xf numFmtId="0" fontId="40" fillId="0" borderId="10" xfId="0" applyFont="1" applyBorder="1" applyAlignment="1">
      <alignment horizontal="left" vertical="center"/>
    </xf>
    <xf numFmtId="0" fontId="40" fillId="0" borderId="11" xfId="0" applyFont="1" applyBorder="1" applyAlignment="1">
      <alignment horizontal="center" vertical="center"/>
    </xf>
    <xf numFmtId="0" fontId="40" fillId="0" borderId="10" xfId="0" applyFont="1" applyBorder="1" applyAlignment="1">
      <alignment horizontal="center" vertical="center"/>
    </xf>
    <xf numFmtId="0" fontId="49" fillId="24" borderId="33" xfId="0" applyFont="1" applyFill="1" applyBorder="1" applyAlignment="1">
      <alignment horizontal="left" vertical="center" wrapText="1"/>
    </xf>
    <xf numFmtId="0" fontId="49" fillId="24" borderId="29" xfId="0" applyFont="1" applyFill="1" applyBorder="1" applyAlignment="1">
      <alignment horizontal="left" vertical="center" wrapText="1"/>
    </xf>
    <xf numFmtId="0" fontId="97" fillId="0" borderId="91" xfId="0" applyFont="1" applyBorder="1" applyAlignment="1">
      <alignment horizontal="center" vertical="center" wrapText="1"/>
    </xf>
    <xf numFmtId="0" fontId="45" fillId="0" borderId="12" xfId="0" applyFont="1" applyBorder="1" applyAlignment="1">
      <alignment horizontal="left" vertical="center" wrapText="1"/>
    </xf>
    <xf numFmtId="0" fontId="45" fillId="0" borderId="29" xfId="0" applyFont="1" applyBorder="1" applyAlignment="1">
      <alignment horizontal="left" vertical="center" wrapText="1"/>
    </xf>
    <xf numFmtId="0" fontId="40" fillId="26" borderId="14" xfId="0" applyFont="1" applyFill="1" applyBorder="1" applyAlignment="1">
      <alignment horizontal="center" vertical="center" wrapText="1"/>
    </xf>
    <xf numFmtId="0" fontId="40" fillId="26" borderId="90" xfId="0" applyFont="1" applyFill="1" applyBorder="1" applyAlignment="1">
      <alignment horizontal="center" vertical="center" wrapText="1"/>
    </xf>
    <xf numFmtId="0" fontId="40" fillId="26" borderId="106" xfId="0" applyFont="1" applyFill="1" applyBorder="1" applyAlignment="1">
      <alignment horizontal="center" vertical="center" wrapText="1"/>
    </xf>
    <xf numFmtId="0" fontId="41" fillId="24" borderId="22" xfId="0" applyFont="1" applyFill="1" applyBorder="1" applyAlignment="1">
      <alignment horizontal="center" vertical="center" wrapText="1"/>
    </xf>
    <xf numFmtId="0" fontId="41" fillId="24" borderId="25" xfId="0" applyFont="1" applyFill="1" applyBorder="1" applyAlignment="1">
      <alignment horizontal="center" vertical="center" wrapText="1"/>
    </xf>
    <xf numFmtId="0" fontId="41" fillId="24" borderId="26" xfId="0" applyFont="1" applyFill="1" applyBorder="1" applyAlignment="1">
      <alignment horizontal="center" vertical="center" wrapText="1"/>
    </xf>
    <xf numFmtId="0" fontId="40" fillId="0" borderId="38" xfId="0" applyFont="1" applyBorder="1" applyAlignment="1">
      <alignment horizontal="left" vertical="center" wrapText="1"/>
    </xf>
    <xf numFmtId="38" fontId="49" fillId="24" borderId="22" xfId="0" applyNumberFormat="1" applyFont="1" applyFill="1" applyBorder="1" applyAlignment="1">
      <alignment horizontal="center" vertical="center"/>
    </xf>
    <xf numFmtId="38" fontId="49" fillId="24" borderId="25" xfId="0" applyNumberFormat="1" applyFont="1" applyFill="1" applyBorder="1" applyAlignment="1">
      <alignment horizontal="center" vertical="center"/>
    </xf>
    <xf numFmtId="0" fontId="40" fillId="24" borderId="0" xfId="0" applyFont="1" applyFill="1" applyAlignment="1">
      <alignment horizontal="left" vertical="center" wrapText="1"/>
    </xf>
    <xf numFmtId="0" fontId="40" fillId="24" borderId="88" xfId="0" applyFont="1" applyFill="1" applyBorder="1" applyAlignment="1">
      <alignment horizontal="left" vertical="center" wrapText="1"/>
    </xf>
    <xf numFmtId="0" fontId="40" fillId="24" borderId="14" xfId="0" applyFont="1" applyFill="1" applyBorder="1" applyAlignment="1">
      <alignment horizontal="center" vertical="center" wrapText="1"/>
    </xf>
    <xf numFmtId="0" fontId="40" fillId="24" borderId="90" xfId="0" applyFont="1" applyFill="1" applyBorder="1" applyAlignment="1">
      <alignment horizontal="center" vertical="center" wrapText="1"/>
    </xf>
    <xf numFmtId="0" fontId="40" fillId="24" borderId="106" xfId="0" applyFont="1" applyFill="1" applyBorder="1" applyAlignment="1">
      <alignment horizontal="center" vertical="center" wrapText="1"/>
    </xf>
    <xf numFmtId="0" fontId="40" fillId="24" borderId="16" xfId="0" applyFont="1" applyFill="1" applyBorder="1" applyAlignment="1">
      <alignment horizontal="center" vertical="center" wrapText="1"/>
    </xf>
    <xf numFmtId="0" fontId="40" fillId="24" borderId="17" xfId="0" applyFont="1" applyFill="1" applyBorder="1" applyAlignment="1">
      <alignment horizontal="center" vertical="center" wrapText="1"/>
    </xf>
    <xf numFmtId="0" fontId="40" fillId="24" borderId="43" xfId="0" applyFont="1" applyFill="1" applyBorder="1" applyAlignment="1">
      <alignment horizontal="center" vertical="center" wrapText="1"/>
    </xf>
    <xf numFmtId="0" fontId="40" fillId="24" borderId="35" xfId="0" applyFont="1" applyFill="1" applyBorder="1" applyAlignment="1">
      <alignment horizontal="left" vertical="center" wrapText="1"/>
    </xf>
    <xf numFmtId="0" fontId="40" fillId="24" borderId="36" xfId="0" applyFont="1" applyFill="1" applyBorder="1" applyAlignment="1">
      <alignment horizontal="left" vertical="center" wrapText="1"/>
    </xf>
    <xf numFmtId="0" fontId="41" fillId="24" borderId="71" xfId="0" applyFont="1" applyFill="1" applyBorder="1" applyAlignment="1">
      <alignment horizontal="center" vertical="center" wrapText="1"/>
    </xf>
    <xf numFmtId="0" fontId="41" fillId="24" borderId="30" xfId="0" applyFont="1" applyFill="1" applyBorder="1" applyAlignment="1">
      <alignment horizontal="center" vertical="center" wrapText="1"/>
    </xf>
    <xf numFmtId="0" fontId="41" fillId="24" borderId="74" xfId="0" applyFont="1" applyFill="1" applyBorder="1" applyAlignment="1">
      <alignment horizontal="center" vertical="center" wrapText="1"/>
    </xf>
    <xf numFmtId="0" fontId="41" fillId="24" borderId="75" xfId="0" applyFont="1" applyFill="1" applyBorder="1" applyAlignment="1">
      <alignment horizontal="center" vertical="center" wrapText="1"/>
    </xf>
    <xf numFmtId="0" fontId="41" fillId="24" borderId="76" xfId="0" applyFont="1" applyFill="1" applyBorder="1" applyAlignment="1">
      <alignment horizontal="center" vertical="center" wrapText="1"/>
    </xf>
    <xf numFmtId="0" fontId="41" fillId="24" borderId="89" xfId="0" applyFont="1" applyFill="1" applyBorder="1" applyAlignment="1">
      <alignment horizontal="center" vertical="center" wrapText="1"/>
    </xf>
    <xf numFmtId="0" fontId="40" fillId="24" borderId="17" xfId="0" applyFont="1" applyFill="1" applyBorder="1" applyAlignment="1">
      <alignment horizontal="left" vertical="center" wrapText="1"/>
    </xf>
    <xf numFmtId="0" fontId="40" fillId="24" borderId="18" xfId="0" applyFont="1" applyFill="1" applyBorder="1" applyAlignment="1">
      <alignment horizontal="left" vertical="center" wrapText="1"/>
    </xf>
    <xf numFmtId="0" fontId="41" fillId="24" borderId="0" xfId="0" applyFont="1" applyFill="1" applyAlignment="1">
      <alignment vertical="center" wrapText="1"/>
    </xf>
    <xf numFmtId="38" fontId="46" fillId="0" borderId="22" xfId="34" applyFont="1" applyFill="1" applyBorder="1" applyAlignment="1" applyProtection="1">
      <alignment vertical="center" shrinkToFit="1"/>
      <protection locked="0"/>
    </xf>
    <xf numFmtId="0" fontId="41" fillId="24" borderId="71" xfId="0" applyFont="1" applyFill="1" applyBorder="1" applyAlignment="1">
      <alignment horizontal="left" vertical="center" wrapText="1"/>
    </xf>
    <xf numFmtId="0" fontId="41" fillId="24" borderId="30" xfId="0" applyFont="1" applyFill="1" applyBorder="1" applyAlignment="1">
      <alignment horizontal="left" vertical="center" wrapText="1"/>
    </xf>
    <xf numFmtId="0" fontId="41" fillId="24" borderId="74" xfId="0" applyFont="1" applyFill="1" applyBorder="1" applyAlignment="1">
      <alignment horizontal="left" vertical="center" wrapText="1"/>
    </xf>
    <xf numFmtId="0" fontId="41" fillId="24" borderId="75" xfId="0" applyFont="1" applyFill="1" applyBorder="1" applyAlignment="1">
      <alignment horizontal="left" vertical="center" wrapText="1"/>
    </xf>
    <xf numFmtId="0" fontId="41" fillId="24" borderId="76" xfId="0" applyFont="1" applyFill="1" applyBorder="1" applyAlignment="1">
      <alignment horizontal="left" vertical="center" wrapText="1"/>
    </xf>
    <xf numFmtId="0" fontId="41" fillId="24" borderId="89" xfId="0" applyFont="1" applyFill="1" applyBorder="1" applyAlignment="1">
      <alignment horizontal="left" vertical="center" wrapText="1"/>
    </xf>
    <xf numFmtId="0" fontId="66" fillId="0" borderId="91" xfId="0" applyFont="1" applyBorder="1" applyAlignment="1">
      <alignment horizontal="center" vertical="center"/>
    </xf>
    <xf numFmtId="0" fontId="40" fillId="28" borderId="99" xfId="0" applyFont="1" applyFill="1" applyBorder="1" applyAlignment="1" applyProtection="1">
      <alignment horizontal="center" vertical="center" wrapText="1"/>
      <protection locked="0"/>
    </xf>
    <xf numFmtId="0" fontId="40" fillId="28" borderId="124" xfId="0" applyFont="1" applyFill="1" applyBorder="1" applyAlignment="1" applyProtection="1">
      <alignment horizontal="center" vertical="center" wrapText="1"/>
      <protection locked="0"/>
    </xf>
    <xf numFmtId="0" fontId="45" fillId="24" borderId="33" xfId="0" applyFont="1" applyFill="1" applyBorder="1" applyAlignment="1">
      <alignment horizontal="left" vertical="center" wrapText="1"/>
    </xf>
    <xf numFmtId="0" fontId="45" fillId="24" borderId="29" xfId="0" applyFont="1" applyFill="1" applyBorder="1" applyAlignment="1">
      <alignment horizontal="left" vertical="center" wrapText="1"/>
    </xf>
    <xf numFmtId="0" fontId="45" fillId="24" borderId="11" xfId="0" applyFont="1" applyFill="1" applyBorder="1" applyAlignment="1">
      <alignment horizontal="left" vertical="center" wrapText="1"/>
    </xf>
    <xf numFmtId="0" fontId="40" fillId="28" borderId="105" xfId="0" applyFont="1" applyFill="1" applyBorder="1" applyAlignment="1" applyProtection="1">
      <alignment horizontal="center" vertical="center" wrapText="1"/>
      <protection locked="0"/>
    </xf>
    <xf numFmtId="0" fontId="40" fillId="28" borderId="126" xfId="0" applyFont="1" applyFill="1" applyBorder="1" applyAlignment="1" applyProtection="1">
      <alignment horizontal="center" vertical="center" wrapText="1"/>
      <protection locked="0"/>
    </xf>
    <xf numFmtId="0" fontId="45" fillId="24" borderId="10" xfId="0" applyFont="1" applyFill="1" applyBorder="1" applyAlignment="1">
      <alignment horizontal="left" vertical="center" wrapText="1"/>
    </xf>
    <xf numFmtId="0" fontId="46" fillId="24" borderId="33" xfId="0" applyFont="1" applyFill="1" applyBorder="1" applyAlignment="1">
      <alignment horizontal="left" vertical="center" wrapText="1"/>
    </xf>
    <xf numFmtId="0" fontId="46" fillId="24" borderId="29" xfId="0" applyFont="1" applyFill="1" applyBorder="1" applyAlignment="1">
      <alignment horizontal="left" vertical="center" wrapText="1"/>
    </xf>
    <xf numFmtId="0" fontId="46" fillId="24" borderId="11" xfId="0" applyFont="1" applyFill="1" applyBorder="1" applyAlignment="1">
      <alignment horizontal="left" vertical="center" wrapText="1"/>
    </xf>
    <xf numFmtId="0" fontId="42" fillId="0" borderId="106" xfId="0" applyFont="1" applyBorder="1" applyAlignment="1">
      <alignment horizontal="center" vertical="center" wrapText="1"/>
    </xf>
    <xf numFmtId="0" fontId="42" fillId="0" borderId="0" xfId="0" applyFont="1" applyBorder="1" applyAlignment="1">
      <alignment horizontal="center" vertical="center" wrapText="1"/>
    </xf>
    <xf numFmtId="0" fontId="42" fillId="0" borderId="88" xfId="0" applyFont="1" applyBorder="1" applyAlignment="1">
      <alignment horizontal="center" vertical="center" wrapText="1"/>
    </xf>
    <xf numFmtId="0" fontId="42" fillId="0" borderId="16" xfId="0" applyFont="1" applyBorder="1" applyAlignment="1">
      <alignment horizontal="center" vertical="center" wrapText="1"/>
    </xf>
    <xf numFmtId="0" fontId="42" fillId="0" borderId="17" xfId="0" applyFont="1" applyBorder="1" applyAlignment="1">
      <alignment horizontal="center" vertical="center" wrapText="1"/>
    </xf>
    <xf numFmtId="0" fontId="42" fillId="0" borderId="43" xfId="0" applyFont="1" applyBorder="1" applyAlignment="1">
      <alignment horizontal="center" vertical="center" wrapText="1"/>
    </xf>
    <xf numFmtId="0" fontId="40" fillId="28" borderId="98" xfId="0" applyFont="1" applyFill="1" applyBorder="1" applyAlignment="1" applyProtection="1">
      <alignment horizontal="center" vertical="center" wrapText="1"/>
      <protection locked="0"/>
    </xf>
    <xf numFmtId="0" fontId="40" fillId="28" borderId="123" xfId="0" applyFont="1" applyFill="1" applyBorder="1" applyAlignment="1" applyProtection="1">
      <alignment horizontal="center" vertical="center" wrapText="1"/>
      <protection locked="0"/>
    </xf>
    <xf numFmtId="0" fontId="0" fillId="24" borderId="0" xfId="0" applyFont="1" applyFill="1" applyBorder="1" applyAlignment="1">
      <alignment horizontal="left" vertical="center" wrapText="1"/>
    </xf>
    <xf numFmtId="0" fontId="66" fillId="0" borderId="102" xfId="0" applyFont="1" applyBorder="1" applyAlignment="1">
      <alignment horizontal="center" vertical="center"/>
    </xf>
    <xf numFmtId="0" fontId="66" fillId="0" borderId="103" xfId="0" applyFont="1" applyBorder="1" applyAlignment="1">
      <alignment horizontal="center" vertical="center"/>
    </xf>
    <xf numFmtId="0" fontId="66" fillId="0" borderId="104" xfId="0" applyFont="1" applyBorder="1" applyAlignment="1">
      <alignment horizontal="center" vertical="center"/>
    </xf>
    <xf numFmtId="0" fontId="40" fillId="28" borderId="78" xfId="0" applyFont="1" applyFill="1" applyBorder="1" applyAlignment="1" applyProtection="1">
      <alignment horizontal="center" vertical="center" wrapText="1"/>
      <protection locked="0"/>
    </xf>
    <xf numFmtId="0" fontId="40" fillId="28" borderId="88" xfId="0" applyFont="1" applyFill="1" applyBorder="1" applyAlignment="1" applyProtection="1">
      <alignment horizontal="center" vertical="center" wrapText="1"/>
      <protection locked="0"/>
    </xf>
    <xf numFmtId="0" fontId="41" fillId="24" borderId="22" xfId="0" applyFont="1" applyFill="1" applyBorder="1" applyAlignment="1">
      <alignment horizontal="left" vertical="center" wrapText="1"/>
    </xf>
    <xf numFmtId="0" fontId="41" fillId="24" borderId="25" xfId="0" applyFont="1" applyFill="1" applyBorder="1" applyAlignment="1">
      <alignment horizontal="left" vertical="center" wrapText="1"/>
    </xf>
    <xf numFmtId="0" fontId="41" fillId="24" borderId="26" xfId="0" applyFont="1" applyFill="1" applyBorder="1" applyAlignment="1">
      <alignment horizontal="left" vertical="center" wrapText="1"/>
    </xf>
    <xf numFmtId="0" fontId="41" fillId="24" borderId="78" xfId="0" applyFont="1" applyFill="1" applyBorder="1" applyAlignment="1">
      <alignment horizontal="left" vertical="center" wrapText="1"/>
    </xf>
    <xf numFmtId="0" fontId="40" fillId="28" borderId="135" xfId="0" applyFont="1" applyFill="1" applyBorder="1" applyAlignment="1" applyProtection="1">
      <alignment horizontal="center" vertical="center" wrapText="1"/>
      <protection locked="0"/>
    </xf>
    <xf numFmtId="0" fontId="40" fillId="28" borderId="136" xfId="0" applyFont="1" applyFill="1" applyBorder="1" applyAlignment="1" applyProtection="1">
      <alignment horizontal="center" vertical="center" wrapText="1"/>
      <protection locked="0"/>
    </xf>
    <xf numFmtId="0" fontId="40" fillId="28" borderId="101" xfId="0" applyFont="1" applyFill="1" applyBorder="1" applyAlignment="1" applyProtection="1">
      <alignment horizontal="center" vertical="center" wrapText="1"/>
      <protection locked="0"/>
    </xf>
    <xf numFmtId="0" fontId="40" fillId="28" borderId="125" xfId="0" applyFont="1" applyFill="1" applyBorder="1" applyAlignment="1" applyProtection="1">
      <alignment horizontal="center" vertical="center" wrapText="1"/>
      <protection locked="0"/>
    </xf>
    <xf numFmtId="0" fontId="40" fillId="24" borderId="0" xfId="0" applyFont="1" applyFill="1" applyAlignment="1">
      <alignment horizontal="left" vertical="top" wrapText="1"/>
    </xf>
    <xf numFmtId="49" fontId="40" fillId="26" borderId="12" xfId="0" applyNumberFormat="1" applyFont="1" applyFill="1" applyBorder="1" applyAlignment="1">
      <alignment horizontal="center" vertical="center" wrapText="1"/>
    </xf>
    <xf numFmtId="49" fontId="40" fillId="26" borderId="29" xfId="0" applyNumberFormat="1" applyFont="1" applyFill="1" applyBorder="1" applyAlignment="1">
      <alignment horizontal="center" vertical="center" wrapText="1"/>
    </xf>
    <xf numFmtId="49" fontId="40" fillId="26" borderId="11" xfId="0" applyNumberFormat="1" applyFont="1" applyFill="1" applyBorder="1" applyAlignment="1">
      <alignment horizontal="center" vertical="center" wrapText="1"/>
    </xf>
    <xf numFmtId="49" fontId="40" fillId="26" borderId="14" xfId="0" applyNumberFormat="1" applyFont="1" applyFill="1" applyBorder="1" applyAlignment="1">
      <alignment horizontal="center" vertical="center" wrapText="1"/>
    </xf>
    <xf numFmtId="49" fontId="40" fillId="26" borderId="90" xfId="0" applyNumberFormat="1" applyFont="1" applyFill="1" applyBorder="1" applyAlignment="1">
      <alignment horizontal="center" vertical="center" wrapText="1"/>
    </xf>
    <xf numFmtId="49" fontId="40" fillId="26" borderId="84" xfId="0" applyNumberFormat="1" applyFont="1" applyFill="1" applyBorder="1" applyAlignment="1">
      <alignment horizontal="center" vertical="center" wrapText="1"/>
    </xf>
    <xf numFmtId="49" fontId="44" fillId="0" borderId="0" xfId="0" applyNumberFormat="1" applyFont="1" applyAlignment="1">
      <alignment horizontal="left" vertical="center" wrapText="1"/>
    </xf>
    <xf numFmtId="49" fontId="44" fillId="0" borderId="0" xfId="0" applyNumberFormat="1" applyFont="1" applyAlignment="1">
      <alignment horizontal="left" vertical="center"/>
    </xf>
    <xf numFmtId="0" fontId="40" fillId="0" borderId="14" xfId="0" applyNumberFormat="1" applyFont="1" applyFill="1" applyBorder="1" applyAlignment="1">
      <alignment horizontal="left" vertical="center" wrapText="1"/>
    </xf>
    <xf numFmtId="0" fontId="40" fillId="0" borderId="90" xfId="0" applyNumberFormat="1" applyFont="1" applyFill="1" applyBorder="1" applyAlignment="1">
      <alignment horizontal="left" vertical="center" wrapText="1"/>
    </xf>
    <xf numFmtId="49" fontId="40" fillId="0" borderId="10" xfId="0" applyNumberFormat="1" applyFont="1" applyBorder="1" applyAlignment="1">
      <alignment horizontal="left" vertical="center" wrapText="1"/>
    </xf>
    <xf numFmtId="49" fontId="40" fillId="0" borderId="12" xfId="0" applyNumberFormat="1" applyFont="1" applyBorder="1" applyAlignment="1">
      <alignment horizontal="left" vertical="center" wrapText="1"/>
    </xf>
    <xf numFmtId="0" fontId="51" fillId="26" borderId="22" xfId="0" applyFont="1" applyFill="1" applyBorder="1" applyAlignment="1">
      <alignment horizontal="center" vertical="center" wrapText="1"/>
    </xf>
    <xf numFmtId="0" fontId="51" fillId="26" borderId="26" xfId="0" applyFont="1" applyFill="1" applyBorder="1" applyAlignment="1">
      <alignment horizontal="center" vertical="center" wrapText="1"/>
    </xf>
    <xf numFmtId="0" fontId="50" fillId="26" borderId="22" xfId="0" applyFont="1" applyFill="1" applyBorder="1" applyAlignment="1">
      <alignment horizontal="center" vertical="center" wrapText="1"/>
    </xf>
    <xf numFmtId="0" fontId="50" fillId="26" borderId="26" xfId="0" applyFont="1" applyFill="1" applyBorder="1" applyAlignment="1">
      <alignment horizontal="center" vertical="center" wrapText="1"/>
    </xf>
    <xf numFmtId="0" fontId="97" fillId="0" borderId="91" xfId="0" applyFont="1" applyBorder="1" applyAlignment="1">
      <alignment horizontal="center" vertical="center"/>
    </xf>
    <xf numFmtId="0" fontId="40" fillId="24" borderId="12" xfId="0" applyFont="1" applyFill="1" applyBorder="1" applyAlignment="1">
      <alignment horizontal="left" vertical="center" wrapText="1"/>
    </xf>
    <xf numFmtId="0" fontId="100" fillId="0" borderId="91" xfId="0" applyFont="1" applyBorder="1" applyAlignment="1">
      <alignment horizontal="center" vertical="center" wrapText="1"/>
    </xf>
    <xf numFmtId="0" fontId="44" fillId="24" borderId="0" xfId="0" applyFont="1" applyFill="1" applyAlignment="1">
      <alignment horizontal="left" vertical="center" wrapText="1"/>
    </xf>
    <xf numFmtId="0" fontId="44" fillId="24" borderId="0" xfId="0" applyFont="1" applyFill="1" applyAlignment="1">
      <alignment horizontal="left" vertical="center"/>
    </xf>
    <xf numFmtId="0" fontId="97" fillId="0" borderId="10" xfId="0" applyFont="1" applyBorder="1" applyAlignment="1">
      <alignment horizontal="center" vertical="center"/>
    </xf>
    <xf numFmtId="0" fontId="40" fillId="0" borderId="12" xfId="0" applyFont="1" applyBorder="1" applyAlignment="1">
      <alignment horizontal="left" vertical="center" wrapText="1"/>
    </xf>
    <xf numFmtId="0" fontId="97" fillId="0" borderId="10" xfId="0" applyNumberFormat="1" applyFont="1" applyBorder="1" applyAlignment="1">
      <alignment horizontal="center" vertical="center" wrapText="1"/>
    </xf>
    <xf numFmtId="0" fontId="66" fillId="0" borderId="10" xfId="0" applyFont="1" applyBorder="1" applyAlignment="1">
      <alignment horizontal="center" vertical="center"/>
    </xf>
    <xf numFmtId="38" fontId="46" fillId="28" borderId="22" xfId="34" applyFont="1" applyFill="1" applyBorder="1" applyAlignment="1" applyProtection="1">
      <alignment vertical="center" shrinkToFit="1"/>
      <protection locked="0"/>
    </xf>
    <xf numFmtId="38" fontId="46" fillId="28" borderId="50" xfId="34" applyFont="1" applyFill="1" applyBorder="1" applyAlignment="1" applyProtection="1">
      <alignment vertical="center" shrinkToFit="1"/>
      <protection locked="0"/>
    </xf>
    <xf numFmtId="0" fontId="42" fillId="24" borderId="0" xfId="0" applyFont="1" applyFill="1" applyAlignment="1">
      <alignment horizontal="left" vertical="top" wrapText="1"/>
    </xf>
    <xf numFmtId="0" fontId="97" fillId="0" borderId="10" xfId="0" applyFont="1" applyBorder="1" applyAlignment="1">
      <alignment horizontal="center" vertical="center" wrapText="1"/>
    </xf>
    <xf numFmtId="181" fontId="46" fillId="0" borderId="22" xfId="34" applyNumberFormat="1" applyFont="1" applyFill="1" applyBorder="1" applyAlignment="1" applyProtection="1">
      <alignment horizontal="right" vertical="center"/>
    </xf>
    <xf numFmtId="181" fontId="46" fillId="0" borderId="25" xfId="34" applyNumberFormat="1" applyFont="1" applyFill="1" applyBorder="1" applyAlignment="1" applyProtection="1">
      <alignment horizontal="right" vertical="center"/>
    </xf>
    <xf numFmtId="181" fontId="46" fillId="0" borderId="26" xfId="34" applyNumberFormat="1" applyFont="1" applyFill="1" applyBorder="1" applyAlignment="1" applyProtection="1">
      <alignment horizontal="right" vertical="center"/>
    </xf>
    <xf numFmtId="0" fontId="31" fillId="24" borderId="0" xfId="0" applyFont="1" applyFill="1" applyAlignment="1">
      <alignment horizontal="left" vertical="top" wrapText="1"/>
    </xf>
    <xf numFmtId="49" fontId="38" fillId="24" borderId="0" xfId="0" applyNumberFormat="1" applyFont="1" applyFill="1" applyAlignment="1">
      <alignment vertical="center"/>
    </xf>
    <xf numFmtId="0" fontId="44" fillId="24" borderId="0" xfId="0" applyFont="1" applyFill="1" applyAlignment="1">
      <alignment horizontal="left" vertical="top" wrapText="1"/>
    </xf>
    <xf numFmtId="0" fontId="49" fillId="24" borderId="29" xfId="0" applyFont="1" applyFill="1" applyBorder="1" applyAlignment="1">
      <alignment horizontal="left" vertical="center"/>
    </xf>
    <xf numFmtId="38" fontId="46" fillId="0" borderId="14" xfId="34" applyFont="1" applyFill="1" applyBorder="1" applyAlignment="1" applyProtection="1">
      <alignment vertical="center" shrinkToFit="1"/>
    </xf>
    <xf numFmtId="0" fontId="41" fillId="25" borderId="54" xfId="0" applyFont="1" applyFill="1" applyBorder="1" applyAlignment="1">
      <alignment horizontal="center" vertical="center"/>
    </xf>
    <xf numFmtId="0" fontId="41" fillId="25" borderId="50" xfId="0" applyFont="1" applyFill="1" applyBorder="1" applyAlignment="1">
      <alignment horizontal="center" vertical="center"/>
    </xf>
    <xf numFmtId="0" fontId="40" fillId="26" borderId="12" xfId="0" applyFont="1" applyFill="1" applyBorder="1" applyAlignment="1">
      <alignment horizontal="left" vertical="center"/>
    </xf>
    <xf numFmtId="0" fontId="40" fillId="26" borderId="29" xfId="0" applyFont="1" applyFill="1" applyBorder="1" applyAlignment="1">
      <alignment horizontal="left" vertical="center"/>
    </xf>
    <xf numFmtId="0" fontId="40" fillId="26" borderId="90" xfId="0" applyFont="1" applyFill="1" applyBorder="1" applyAlignment="1">
      <alignment horizontal="left" vertical="center"/>
    </xf>
    <xf numFmtId="0" fontId="40" fillId="26" borderId="11" xfId="0" applyFont="1" applyFill="1" applyBorder="1" applyAlignment="1">
      <alignment horizontal="left" vertical="center"/>
    </xf>
    <xf numFmtId="181" fontId="46" fillId="0" borderId="22" xfId="34" applyNumberFormat="1" applyFont="1" applyFill="1" applyBorder="1" applyAlignment="1" applyProtection="1">
      <alignment horizontal="right" vertical="center"/>
      <protection locked="0"/>
    </xf>
    <xf numFmtId="181" fontId="46" fillId="0" borderId="25" xfId="34" applyNumberFormat="1" applyFont="1" applyFill="1" applyBorder="1" applyAlignment="1" applyProtection="1">
      <alignment horizontal="right" vertical="center"/>
      <protection locked="0"/>
    </xf>
    <xf numFmtId="181" fontId="46" fillId="0" borderId="26" xfId="34" applyNumberFormat="1" applyFont="1" applyFill="1" applyBorder="1" applyAlignment="1" applyProtection="1">
      <alignment horizontal="right" vertical="center"/>
      <protection locked="0"/>
    </xf>
    <xf numFmtId="0" fontId="41" fillId="26" borderId="54" xfId="0" applyFont="1" applyFill="1" applyBorder="1" applyAlignment="1">
      <alignment horizontal="center" vertical="center"/>
    </xf>
    <xf numFmtId="0" fontId="41" fillId="26" borderId="73" xfId="0" applyFont="1" applyFill="1" applyBorder="1" applyAlignment="1">
      <alignment horizontal="center" vertical="center"/>
    </xf>
    <xf numFmtId="0" fontId="41" fillId="25" borderId="87" xfId="0" applyFont="1" applyFill="1" applyBorder="1" applyAlignment="1">
      <alignment horizontal="center" vertical="center"/>
    </xf>
    <xf numFmtId="0" fontId="41" fillId="25" borderId="73" xfId="0" applyFont="1" applyFill="1" applyBorder="1" applyAlignment="1">
      <alignment horizontal="center" vertical="center"/>
    </xf>
    <xf numFmtId="181" fontId="46" fillId="28" borderId="22" xfId="34" applyNumberFormat="1" applyFont="1" applyFill="1" applyBorder="1" applyAlignment="1" applyProtection="1">
      <alignment horizontal="right" vertical="center"/>
      <protection locked="0"/>
    </xf>
    <xf numFmtId="181" fontId="46" fillId="28" borderId="25" xfId="34" applyNumberFormat="1" applyFont="1" applyFill="1" applyBorder="1" applyAlignment="1" applyProtection="1">
      <alignment horizontal="right" vertical="center"/>
      <protection locked="0"/>
    </xf>
    <xf numFmtId="181" fontId="46" fillId="28" borderId="26" xfId="34" applyNumberFormat="1" applyFont="1" applyFill="1" applyBorder="1" applyAlignment="1" applyProtection="1">
      <alignment horizontal="right" vertical="center"/>
      <protection locked="0"/>
    </xf>
    <xf numFmtId="0" fontId="40" fillId="26" borderId="14" xfId="0" applyFont="1" applyFill="1" applyBorder="1" applyAlignment="1">
      <alignment horizontal="left" vertical="center"/>
    </xf>
    <xf numFmtId="0" fontId="40" fillId="26" borderId="10" xfId="0" applyFont="1" applyFill="1" applyBorder="1" applyAlignment="1">
      <alignment horizontal="left" vertical="center"/>
    </xf>
    <xf numFmtId="181" fontId="46" fillId="0" borderId="22" xfId="34" applyNumberFormat="1" applyFont="1" applyFill="1" applyBorder="1" applyAlignment="1" applyProtection="1">
      <alignment horizontal="right" vertical="center" shrinkToFit="1"/>
    </xf>
    <xf numFmtId="181" fontId="46" fillId="0" borderId="69" xfId="34" applyNumberFormat="1" applyFont="1" applyFill="1" applyBorder="1" applyAlignment="1" applyProtection="1">
      <alignment horizontal="right" vertical="center" shrinkToFit="1"/>
    </xf>
    <xf numFmtId="181" fontId="46" fillId="0" borderId="48" xfId="34" applyNumberFormat="1" applyFont="1" applyFill="1" applyBorder="1" applyAlignment="1" applyProtection="1">
      <alignment horizontal="right" vertical="center" shrinkToFit="1"/>
    </xf>
    <xf numFmtId="181" fontId="46" fillId="0" borderId="25" xfId="34" applyNumberFormat="1" applyFont="1" applyFill="1" applyBorder="1" applyAlignment="1" applyProtection="1">
      <alignment horizontal="right" vertical="center" shrinkToFit="1"/>
    </xf>
    <xf numFmtId="181" fontId="46" fillId="0" borderId="26" xfId="34" applyNumberFormat="1" applyFont="1" applyFill="1" applyBorder="1" applyAlignment="1" applyProtection="1">
      <alignment horizontal="right" vertical="center" shrinkToFit="1"/>
    </xf>
    <xf numFmtId="0" fontId="49" fillId="24" borderId="17" xfId="0" applyFont="1" applyFill="1" applyBorder="1" applyAlignment="1">
      <alignment horizontal="left" vertical="center" wrapText="1"/>
    </xf>
    <xf numFmtId="181" fontId="46" fillId="28" borderId="75" xfId="34" applyNumberFormat="1" applyFont="1" applyFill="1" applyBorder="1" applyAlignment="1" applyProtection="1">
      <alignment horizontal="right" vertical="center" shrinkToFit="1"/>
      <protection locked="0"/>
    </xf>
    <xf numFmtId="0" fontId="45" fillId="0" borderId="27" xfId="0" applyFont="1" applyBorder="1" applyAlignment="1">
      <alignment horizontal="center" vertical="center" wrapText="1"/>
    </xf>
    <xf numFmtId="0" fontId="45" fillId="0" borderId="65" xfId="0" applyFont="1" applyBorder="1" applyAlignment="1">
      <alignment horizontal="left" vertical="center"/>
    </xf>
    <xf numFmtId="0" fontId="45" fillId="0" borderId="129" xfId="0" applyFont="1" applyBorder="1" applyAlignment="1">
      <alignment horizontal="left" vertical="center"/>
    </xf>
    <xf numFmtId="0" fontId="45" fillId="0" borderId="10" xfId="0" applyFont="1" applyBorder="1" applyAlignment="1">
      <alignment horizontal="center" vertical="center"/>
    </xf>
    <xf numFmtId="0" fontId="45" fillId="0" borderId="11" xfId="0" applyFont="1" applyBorder="1" applyAlignment="1">
      <alignment horizontal="center" vertical="center"/>
    </xf>
    <xf numFmtId="0" fontId="45" fillId="0" borderId="12" xfId="0" applyFont="1" applyBorder="1" applyAlignment="1">
      <alignment horizontal="left" vertical="center" shrinkToFit="1"/>
    </xf>
    <xf numFmtId="0" fontId="45" fillId="0" borderId="12" xfId="0" applyFont="1" applyBorder="1" applyAlignment="1">
      <alignment horizontal="center" vertical="center"/>
    </xf>
    <xf numFmtId="0" fontId="45" fillId="0" borderId="10" xfId="0" applyFont="1" applyBorder="1" applyAlignment="1">
      <alignment horizontal="left" vertical="center" shrinkToFit="1"/>
    </xf>
    <xf numFmtId="0" fontId="45" fillId="0" borderId="14" xfId="0" applyFont="1" applyBorder="1" applyAlignment="1">
      <alignment horizontal="center" vertical="center" wrapText="1"/>
    </xf>
    <xf numFmtId="0" fontId="45" fillId="0" borderId="13" xfId="0" applyFont="1" applyBorder="1" applyAlignment="1">
      <alignment horizontal="center" vertical="center"/>
    </xf>
    <xf numFmtId="0" fontId="45" fillId="0" borderId="10" xfId="0" applyFont="1" applyBorder="1" applyAlignment="1">
      <alignment horizontal="left" vertical="center"/>
    </xf>
    <xf numFmtId="0" fontId="45" fillId="0" borderId="16" xfId="0" applyFont="1" applyBorder="1" applyAlignment="1">
      <alignment horizontal="left" vertical="center"/>
    </xf>
    <xf numFmtId="0" fontId="45" fillId="0" borderId="38" xfId="0" applyFont="1" applyBorder="1" applyAlignment="1">
      <alignment horizontal="left" vertical="center"/>
    </xf>
    <xf numFmtId="0" fontId="45" fillId="0" borderId="45" xfId="0" applyFont="1" applyBorder="1" applyAlignment="1">
      <alignment horizontal="center" vertical="center" wrapText="1"/>
    </xf>
    <xf numFmtId="0" fontId="45" fillId="0" borderId="45" xfId="0" applyFont="1" applyBorder="1" applyAlignment="1">
      <alignment horizontal="left" vertical="center"/>
    </xf>
    <xf numFmtId="0" fontId="45" fillId="0" borderId="96" xfId="0" applyFont="1" applyBorder="1" applyAlignment="1">
      <alignment horizontal="left" vertical="center"/>
    </xf>
    <xf numFmtId="0" fontId="38" fillId="24" borderId="22" xfId="0" applyFont="1" applyFill="1" applyBorder="1" applyAlignment="1">
      <alignment horizontal="center" vertical="center"/>
    </xf>
    <xf numFmtId="0" fontId="38" fillId="24" borderId="50" xfId="0" applyFont="1" applyFill="1" applyBorder="1" applyAlignment="1">
      <alignment horizontal="center" vertical="center"/>
    </xf>
    <xf numFmtId="0" fontId="43" fillId="24" borderId="0" xfId="0" applyFont="1" applyFill="1" applyAlignment="1">
      <alignment horizontal="center" vertical="center"/>
    </xf>
    <xf numFmtId="0" fontId="45" fillId="0" borderId="45" xfId="0" applyFont="1" applyBorder="1" applyAlignment="1">
      <alignment horizontal="center" vertical="center"/>
    </xf>
    <xf numFmtId="0" fontId="45" fillId="0" borderId="16" xfId="0" applyFont="1" applyBorder="1" applyAlignment="1">
      <alignment horizontal="center" vertical="center"/>
    </xf>
    <xf numFmtId="0" fontId="45" fillId="0" borderId="65" xfId="0" applyFont="1" applyBorder="1" applyAlignment="1">
      <alignment horizontal="left" vertical="center" wrapText="1"/>
    </xf>
    <xf numFmtId="0" fontId="45" fillId="0" borderId="129" xfId="0" applyFont="1" applyBorder="1" applyAlignment="1">
      <alignment horizontal="left" vertical="center" wrapText="1"/>
    </xf>
    <xf numFmtId="0" fontId="97" fillId="0" borderId="12" xfId="0" applyFont="1" applyBorder="1" applyAlignment="1">
      <alignment horizontal="center" vertical="center"/>
    </xf>
    <xf numFmtId="0" fontId="97" fillId="0" borderId="29" xfId="0" applyFont="1" applyBorder="1" applyAlignment="1">
      <alignment horizontal="center" vertical="center"/>
    </xf>
    <xf numFmtId="0" fontId="97" fillId="0" borderId="11" xfId="0" applyFont="1" applyBorder="1" applyAlignment="1">
      <alignment horizontal="center" vertical="center"/>
    </xf>
    <xf numFmtId="0" fontId="100" fillId="0" borderId="12" xfId="0" applyFont="1" applyBorder="1" applyAlignment="1">
      <alignment horizontal="center" vertical="center"/>
    </xf>
    <xf numFmtId="0" fontId="100" fillId="0" borderId="29" xfId="0" applyFont="1" applyBorder="1" applyAlignment="1">
      <alignment horizontal="center" vertical="center"/>
    </xf>
    <xf numFmtId="0" fontId="100" fillId="0" borderId="11" xfId="0" applyFont="1" applyBorder="1" applyAlignment="1">
      <alignment horizontal="center" vertical="center"/>
    </xf>
    <xf numFmtId="0" fontId="49" fillId="24" borderId="37" xfId="0" applyFont="1" applyFill="1" applyBorder="1" applyAlignment="1">
      <alignment horizontal="left" vertical="center" wrapText="1"/>
    </xf>
    <xf numFmtId="38" fontId="49" fillId="24" borderId="26" xfId="0" applyNumberFormat="1" applyFont="1" applyFill="1" applyBorder="1" applyAlignment="1">
      <alignment horizontal="center" vertical="center"/>
    </xf>
    <xf numFmtId="0" fontId="44" fillId="0" borderId="0" xfId="0" applyFont="1" applyAlignment="1">
      <alignment horizontal="left" vertical="center"/>
    </xf>
    <xf numFmtId="0" fontId="97" fillId="0" borderId="102" xfId="0" applyFont="1" applyBorder="1" applyAlignment="1">
      <alignment horizontal="center" vertical="center" wrapText="1"/>
    </xf>
    <xf numFmtId="0" fontId="100" fillId="0" borderId="10" xfId="0" applyFont="1" applyBorder="1" applyAlignment="1">
      <alignment horizontal="center" vertical="center"/>
    </xf>
    <xf numFmtId="0" fontId="34" fillId="0" borderId="75" xfId="0" applyFont="1" applyBorder="1" applyAlignment="1">
      <alignment horizontal="center" vertical="center" shrinkToFit="1"/>
    </xf>
    <xf numFmtId="0" fontId="34" fillId="0" borderId="76" xfId="0" applyFont="1" applyBorder="1" applyAlignment="1">
      <alignment horizontal="center" vertical="center" shrinkToFit="1"/>
    </xf>
    <xf numFmtId="0" fontId="34" fillId="0" borderId="61" xfId="0" applyFont="1" applyBorder="1" applyAlignment="1">
      <alignment horizontal="center" vertical="center" shrinkToFit="1"/>
    </xf>
    <xf numFmtId="0" fontId="34" fillId="0" borderId="39" xfId="0" applyFont="1" applyBorder="1" applyAlignment="1">
      <alignment horizontal="center" vertical="center" shrinkToFit="1"/>
    </xf>
    <xf numFmtId="0" fontId="34" fillId="0" borderId="21" xfId="0" applyFont="1" applyBorder="1" applyAlignment="1">
      <alignment horizontal="center" vertical="center" shrinkToFit="1"/>
    </xf>
    <xf numFmtId="0" fontId="34" fillId="0" borderId="53" xfId="0" applyFont="1" applyBorder="1" applyAlignment="1">
      <alignment horizontal="center" vertical="center" shrinkToFit="1"/>
    </xf>
    <xf numFmtId="0" fontId="34" fillId="0" borderId="22" xfId="0" applyFont="1" applyBorder="1" applyAlignment="1">
      <alignment horizontal="center" vertical="center" shrinkToFit="1"/>
    </xf>
    <xf numFmtId="0" fontId="34" fillId="0" borderId="25" xfId="0" applyFont="1" applyBorder="1" applyAlignment="1">
      <alignment horizontal="center" vertical="center" shrinkToFit="1"/>
    </xf>
    <xf numFmtId="0" fontId="34" fillId="0" borderId="83" xfId="0" applyFont="1" applyBorder="1" applyAlignment="1">
      <alignment horizontal="center" vertical="center" shrinkToFit="1"/>
    </xf>
    <xf numFmtId="0" fontId="56" fillId="0" borderId="22" xfId="0" applyFont="1" applyBorder="1" applyAlignment="1">
      <alignment horizontal="center" vertical="center" wrapText="1"/>
    </xf>
    <xf numFmtId="0" fontId="56" fillId="0" borderId="26" xfId="0" applyFont="1" applyBorder="1" applyAlignment="1">
      <alignment horizontal="center" vertical="center" wrapText="1"/>
    </xf>
    <xf numFmtId="0" fontId="43" fillId="24" borderId="74" xfId="0" applyFont="1" applyFill="1" applyBorder="1" applyAlignment="1">
      <alignment horizontal="center" vertical="center" wrapText="1"/>
    </xf>
    <xf numFmtId="0" fontId="43" fillId="24" borderId="89" xfId="0" applyFont="1" applyFill="1" applyBorder="1" applyAlignment="1">
      <alignment horizontal="center" vertical="center" wrapText="1"/>
    </xf>
    <xf numFmtId="0" fontId="43" fillId="24" borderId="53" xfId="0" applyFont="1" applyFill="1" applyBorder="1" applyAlignment="1">
      <alignment horizontal="center" vertical="center" wrapText="1"/>
    </xf>
    <xf numFmtId="0" fontId="43" fillId="24" borderId="31" xfId="0" applyFont="1" applyFill="1" applyBorder="1" applyAlignment="1">
      <alignment horizontal="center" vertical="center"/>
    </xf>
    <xf numFmtId="0" fontId="43" fillId="24" borderId="63" xfId="0" applyFont="1" applyFill="1" applyBorder="1" applyAlignment="1">
      <alignment horizontal="center" vertical="center" wrapText="1"/>
    </xf>
    <xf numFmtId="0" fontId="43" fillId="24" borderId="30" xfId="0" applyFont="1" applyFill="1" applyBorder="1" applyAlignment="1">
      <alignment horizontal="center" vertical="center"/>
    </xf>
    <xf numFmtId="0" fontId="43" fillId="24" borderId="64" xfId="0" applyFont="1" applyFill="1" applyBorder="1" applyAlignment="1">
      <alignment horizontal="center" vertical="center"/>
    </xf>
    <xf numFmtId="0" fontId="43" fillId="24" borderId="62" xfId="0" applyFont="1" applyFill="1" applyBorder="1" applyAlignment="1">
      <alignment horizontal="center" vertical="center"/>
    </xf>
    <xf numFmtId="0" fontId="43" fillId="24" borderId="76" xfId="0" applyFont="1" applyFill="1" applyBorder="1" applyAlignment="1">
      <alignment horizontal="center" vertical="center"/>
    </xf>
    <xf numFmtId="0" fontId="43" fillId="24" borderId="61" xfId="0" applyFont="1" applyFill="1" applyBorder="1" applyAlignment="1">
      <alignment horizontal="center" vertical="center"/>
    </xf>
    <xf numFmtId="0" fontId="43" fillId="24" borderId="82" xfId="0" applyFont="1" applyFill="1" applyBorder="1" applyAlignment="1">
      <alignment horizontal="center" vertical="center" wrapText="1"/>
    </xf>
    <xf numFmtId="0" fontId="43" fillId="24" borderId="68" xfId="0" applyFont="1" applyFill="1" applyBorder="1" applyAlignment="1">
      <alignment horizontal="center" vertical="center" wrapText="1"/>
    </xf>
    <xf numFmtId="0" fontId="43" fillId="24" borderId="54" xfId="0" applyFont="1" applyFill="1" applyBorder="1" applyAlignment="1">
      <alignment horizontal="center" vertical="center" wrapText="1"/>
    </xf>
    <xf numFmtId="0" fontId="43" fillId="24" borderId="73" xfId="0" applyFont="1" applyFill="1" applyBorder="1" applyAlignment="1">
      <alignment horizontal="center" vertical="center" wrapText="1"/>
    </xf>
    <xf numFmtId="0" fontId="43" fillId="24" borderId="39" xfId="0" applyFont="1" applyFill="1" applyBorder="1" applyAlignment="1">
      <alignment horizontal="center" vertical="center" wrapText="1"/>
    </xf>
    <xf numFmtId="0" fontId="115" fillId="25" borderId="22" xfId="0" applyFont="1" applyFill="1" applyBorder="1" applyAlignment="1">
      <alignment horizontal="center" vertical="center"/>
    </xf>
    <xf numFmtId="0" fontId="115" fillId="25" borderId="26" xfId="0" applyFont="1" applyFill="1" applyBorder="1" applyAlignment="1">
      <alignment horizontal="center" vertical="center"/>
    </xf>
    <xf numFmtId="0" fontId="39" fillId="24" borderId="81" xfId="0" applyFont="1" applyFill="1" applyBorder="1" applyAlignment="1">
      <alignment horizontal="center" vertical="center" textRotation="255" wrapText="1"/>
    </xf>
    <xf numFmtId="0" fontId="39" fillId="24" borderId="79" xfId="0" applyFont="1" applyFill="1" applyBorder="1" applyAlignment="1">
      <alignment horizontal="center" vertical="center" textRotation="255" wrapText="1"/>
    </xf>
    <xf numFmtId="0" fontId="43" fillId="24" borderId="63" xfId="0" applyFont="1" applyFill="1" applyBorder="1" applyAlignment="1">
      <alignment horizontal="center" vertical="center" wrapText="1" shrinkToFit="1"/>
    </xf>
    <xf numFmtId="0" fontId="43" fillId="24" borderId="30" xfId="0" applyFont="1" applyFill="1" applyBorder="1" applyAlignment="1">
      <alignment horizontal="center" vertical="center" wrapText="1" shrinkToFit="1"/>
    </xf>
    <xf numFmtId="0" fontId="43" fillId="24" borderId="64" xfId="0" applyFont="1" applyFill="1" applyBorder="1" applyAlignment="1">
      <alignment horizontal="center" vertical="center" wrapText="1" shrinkToFit="1"/>
    </xf>
    <xf numFmtId="0" fontId="43" fillId="24" borderId="27" xfId="0" applyFont="1" applyFill="1" applyBorder="1" applyAlignment="1">
      <alignment horizontal="center" vertical="center" wrapText="1" shrinkToFit="1"/>
    </xf>
    <xf numFmtId="0" fontId="43" fillId="24" borderId="0" xfId="0" applyFont="1" applyFill="1" applyAlignment="1">
      <alignment horizontal="center" vertical="center" wrapText="1" shrinkToFit="1"/>
    </xf>
    <xf numFmtId="0" fontId="43" fillId="24" borderId="15" xfId="0" applyFont="1" applyFill="1" applyBorder="1" applyAlignment="1">
      <alignment horizontal="center" vertical="center" wrapText="1" shrinkToFit="1"/>
    </xf>
    <xf numFmtId="0" fontId="43" fillId="24" borderId="58" xfId="0" applyFont="1" applyFill="1" applyBorder="1" applyAlignment="1">
      <alignment horizontal="center" vertical="center" wrapText="1" shrinkToFit="1"/>
    </xf>
    <xf numFmtId="0" fontId="43" fillId="24" borderId="44" xfId="0" applyFont="1" applyFill="1" applyBorder="1" applyAlignment="1">
      <alignment horizontal="center" vertical="center" wrapText="1" shrinkToFit="1"/>
    </xf>
    <xf numFmtId="0" fontId="43" fillId="24" borderId="42" xfId="0" applyFont="1" applyFill="1" applyBorder="1" applyAlignment="1">
      <alignment horizontal="center" vertical="center"/>
    </xf>
    <xf numFmtId="0" fontId="43" fillId="24" borderId="58" xfId="0" applyFont="1" applyFill="1" applyBorder="1" applyAlignment="1">
      <alignment horizontal="center" vertical="center" shrinkToFit="1"/>
    </xf>
    <xf numFmtId="0" fontId="43" fillId="24" borderId="44" xfId="0" applyFont="1" applyFill="1" applyBorder="1" applyAlignment="1">
      <alignment horizontal="center" vertical="center" shrinkToFit="1"/>
    </xf>
    <xf numFmtId="0" fontId="43" fillId="24" borderId="63" xfId="0" applyFont="1" applyFill="1" applyBorder="1" applyAlignment="1">
      <alignment horizontal="center" vertical="center" shrinkToFit="1"/>
    </xf>
    <xf numFmtId="0" fontId="43" fillId="24" borderId="27" xfId="0" applyFont="1" applyFill="1" applyBorder="1" applyAlignment="1">
      <alignment horizontal="center" vertical="center" shrinkToFit="1"/>
    </xf>
    <xf numFmtId="0" fontId="39" fillId="24" borderId="58" xfId="0" applyFont="1" applyFill="1" applyBorder="1" applyAlignment="1">
      <alignment horizontal="center" vertical="center" wrapText="1"/>
    </xf>
    <xf numFmtId="0" fontId="39" fillId="24" borderId="44" xfId="0" applyFont="1" applyFill="1" applyBorder="1" applyAlignment="1">
      <alignment horizontal="center" vertical="center" wrapText="1"/>
    </xf>
    <xf numFmtId="0" fontId="39" fillId="24" borderId="42" xfId="0" applyFont="1" applyFill="1" applyBorder="1" applyAlignment="1">
      <alignment horizontal="center" vertical="center" wrapText="1"/>
    </xf>
    <xf numFmtId="0" fontId="0" fillId="24" borderId="90" xfId="0" applyFill="1" applyBorder="1" applyAlignment="1">
      <alignment horizontal="left" vertical="top" wrapText="1"/>
    </xf>
    <xf numFmtId="0" fontId="0" fillId="24" borderId="0" xfId="0" applyFill="1" applyBorder="1" applyAlignment="1">
      <alignment horizontal="left" vertical="top" wrapText="1"/>
    </xf>
    <xf numFmtId="0" fontId="111" fillId="29" borderId="0" xfId="0" applyFont="1" applyFill="1" applyAlignment="1">
      <alignment horizontal="center" vertical="center"/>
    </xf>
    <xf numFmtId="0" fontId="36" fillId="24" borderId="14" xfId="0" applyFont="1" applyFill="1" applyBorder="1" applyAlignment="1">
      <alignment horizontal="left" vertical="center" wrapText="1"/>
    </xf>
    <xf numFmtId="0" fontId="36" fillId="24" borderId="90" xfId="0" applyFont="1" applyFill="1" applyBorder="1" applyAlignment="1">
      <alignment horizontal="left" vertical="center" wrapText="1"/>
    </xf>
    <xf numFmtId="0" fontId="36" fillId="24" borderId="84" xfId="0" applyFont="1" applyFill="1" applyBorder="1" applyAlignment="1">
      <alignment horizontal="left" vertical="center" wrapText="1"/>
    </xf>
    <xf numFmtId="176" fontId="56" fillId="24" borderId="12" xfId="0" applyNumberFormat="1" applyFont="1" applyFill="1" applyBorder="1" applyAlignment="1">
      <alignment horizontal="center" vertical="center" shrinkToFit="1"/>
    </xf>
    <xf numFmtId="176" fontId="56" fillId="24" borderId="29" xfId="0" applyNumberFormat="1" applyFont="1" applyFill="1" applyBorder="1" applyAlignment="1">
      <alignment horizontal="center" vertical="center" shrinkToFit="1"/>
    </xf>
    <xf numFmtId="176" fontId="56" fillId="24" borderId="11" xfId="0" applyNumberFormat="1" applyFont="1" applyFill="1" applyBorder="1" applyAlignment="1">
      <alignment horizontal="center" vertical="center" shrinkToFit="1"/>
    </xf>
    <xf numFmtId="0" fontId="113" fillId="24" borderId="14" xfId="0" applyFont="1" applyFill="1" applyBorder="1" applyAlignment="1">
      <alignment horizontal="left" vertical="center" wrapText="1"/>
    </xf>
    <xf numFmtId="0" fontId="113" fillId="24" borderId="90" xfId="0" applyFont="1" applyFill="1" applyBorder="1" applyAlignment="1">
      <alignment horizontal="left" vertical="center" wrapText="1"/>
    </xf>
    <xf numFmtId="0" fontId="113" fillId="24" borderId="106" xfId="0" applyFont="1" applyFill="1" applyBorder="1" applyAlignment="1">
      <alignment horizontal="left" vertical="center" wrapText="1"/>
    </xf>
    <xf numFmtId="0" fontId="66" fillId="29" borderId="0" xfId="0" applyFont="1" applyFill="1" applyAlignment="1">
      <alignment horizontal="center" vertical="center"/>
    </xf>
    <xf numFmtId="0" fontId="43" fillId="24" borderId="10" xfId="0" applyFont="1" applyFill="1" applyBorder="1" applyAlignment="1">
      <alignment horizontal="center" vertical="center"/>
    </xf>
    <xf numFmtId="0" fontId="43" fillId="24" borderId="12" xfId="0" applyFont="1" applyFill="1" applyBorder="1" applyAlignment="1">
      <alignment horizontal="center" vertical="center"/>
    </xf>
    <xf numFmtId="0" fontId="43" fillId="24" borderId="22" xfId="0" applyFont="1" applyFill="1" applyBorder="1" applyAlignment="1">
      <alignment horizontal="left" vertical="center"/>
    </xf>
    <xf numFmtId="0" fontId="43" fillId="24" borderId="25" xfId="0" applyFont="1" applyFill="1" applyBorder="1" applyAlignment="1">
      <alignment horizontal="left" vertical="center"/>
    </xf>
    <xf numFmtId="0" fontId="43" fillId="24" borderId="26" xfId="0" applyFont="1" applyFill="1" applyBorder="1" applyAlignment="1">
      <alignment horizontal="left" vertical="center"/>
    </xf>
    <xf numFmtId="0" fontId="43" fillId="24" borderId="0" xfId="0" applyFont="1" applyFill="1" applyAlignment="1">
      <alignment horizontal="left" vertical="center" wrapText="1"/>
    </xf>
    <xf numFmtId="0" fontId="113" fillId="24" borderId="12" xfId="0" applyFont="1" applyFill="1" applyBorder="1" applyAlignment="1">
      <alignment horizontal="left" vertical="center" wrapText="1"/>
    </xf>
    <xf numFmtId="0" fontId="113" fillId="24" borderId="29" xfId="0" applyFont="1" applyFill="1" applyBorder="1" applyAlignment="1">
      <alignment horizontal="left" vertical="center" wrapText="1"/>
    </xf>
    <xf numFmtId="0" fontId="113" fillId="24" borderId="37" xfId="0" applyFont="1" applyFill="1" applyBorder="1" applyAlignment="1">
      <alignment horizontal="left" vertical="center" wrapText="1"/>
    </xf>
    <xf numFmtId="0" fontId="0" fillId="24" borderId="12" xfId="0" applyFill="1" applyBorder="1" applyAlignment="1">
      <alignment horizontal="left" vertical="center" wrapText="1"/>
    </xf>
    <xf numFmtId="0" fontId="0" fillId="24" borderId="29" xfId="0" applyFill="1" applyBorder="1" applyAlignment="1">
      <alignment horizontal="left" vertical="center"/>
    </xf>
    <xf numFmtId="0" fontId="0" fillId="24" borderId="11" xfId="0" applyFill="1" applyBorder="1" applyAlignment="1">
      <alignment horizontal="left" vertical="center"/>
    </xf>
    <xf numFmtId="176" fontId="56" fillId="24" borderId="10" xfId="0" applyNumberFormat="1" applyFont="1" applyFill="1" applyBorder="1" applyAlignment="1">
      <alignment horizontal="center" vertical="center" shrinkToFit="1"/>
    </xf>
    <xf numFmtId="0" fontId="39" fillId="24" borderId="63" xfId="0" applyFont="1" applyFill="1" applyBorder="1" applyAlignment="1">
      <alignment horizontal="center" vertical="center" wrapText="1"/>
    </xf>
    <xf numFmtId="0" fontId="39" fillId="24" borderId="74" xfId="0" applyFont="1" applyFill="1" applyBorder="1" applyAlignment="1">
      <alignment horizontal="center" vertical="center" wrapText="1"/>
    </xf>
    <xf numFmtId="0" fontId="43" fillId="24" borderId="81" xfId="0" applyFont="1" applyFill="1" applyBorder="1" applyAlignment="1">
      <alignment horizontal="center" vertical="center" wrapText="1"/>
    </xf>
    <xf numFmtId="0" fontId="43" fillId="24" borderId="72" xfId="0" applyFont="1" applyFill="1" applyBorder="1" applyAlignment="1">
      <alignment horizontal="center" vertical="center" wrapText="1"/>
    </xf>
    <xf numFmtId="0" fontId="43" fillId="24" borderId="42" xfId="0" applyFont="1" applyFill="1" applyBorder="1" applyAlignment="1">
      <alignment horizontal="center" vertical="center" wrapText="1"/>
    </xf>
    <xf numFmtId="0" fontId="43" fillId="24" borderId="24" xfId="0" applyFont="1" applyFill="1" applyBorder="1" applyAlignment="1">
      <alignment horizontal="center" vertical="center"/>
    </xf>
    <xf numFmtId="0" fontId="66" fillId="0" borderId="17" xfId="0" applyFont="1" applyBorder="1" applyAlignment="1">
      <alignment horizontal="center" vertical="center"/>
    </xf>
    <xf numFmtId="0" fontId="36" fillId="24" borderId="12" xfId="0" applyFont="1" applyFill="1" applyBorder="1" applyAlignment="1">
      <alignment horizontal="center" vertical="center"/>
    </xf>
    <xf numFmtId="0" fontId="36" fillId="24" borderId="29" xfId="0" applyFont="1" applyFill="1" applyBorder="1" applyAlignment="1">
      <alignment horizontal="center" vertical="center"/>
    </xf>
    <xf numFmtId="0" fontId="36" fillId="24" borderId="11" xfId="0" applyFont="1" applyFill="1" applyBorder="1" applyAlignment="1">
      <alignment horizontal="center" vertical="center"/>
    </xf>
    <xf numFmtId="49" fontId="0" fillId="24" borderId="12" xfId="0" applyNumberFormat="1" applyFont="1" applyFill="1" applyBorder="1" applyAlignment="1">
      <alignment horizontal="center" vertical="center" wrapText="1"/>
    </xf>
    <xf numFmtId="49" fontId="0" fillId="24" borderId="11" xfId="0" applyNumberFormat="1" applyFont="1" applyFill="1" applyBorder="1" applyAlignment="1">
      <alignment horizontal="center" vertical="center" wrapText="1"/>
    </xf>
    <xf numFmtId="0" fontId="0" fillId="24" borderId="12" xfId="0" applyFont="1" applyFill="1" applyBorder="1" applyAlignment="1">
      <alignment horizontal="center" vertical="center" wrapText="1"/>
    </xf>
    <xf numFmtId="0" fontId="0" fillId="24" borderId="11" xfId="0" applyFont="1" applyFill="1" applyBorder="1" applyAlignment="1">
      <alignment horizontal="center" vertical="center" wrapText="1"/>
    </xf>
    <xf numFmtId="0" fontId="0" fillId="24" borderId="12" xfId="0" applyFont="1" applyFill="1" applyBorder="1" applyAlignment="1">
      <alignment horizontal="left" vertical="center" wrapText="1"/>
    </xf>
    <xf numFmtId="0" fontId="0" fillId="24" borderId="29" xfId="0" applyFont="1" applyFill="1" applyBorder="1" applyAlignment="1">
      <alignment horizontal="left" vertical="center"/>
    </xf>
    <xf numFmtId="0" fontId="0" fillId="24" borderId="11" xfId="0" applyFont="1" applyFill="1" applyBorder="1" applyAlignment="1">
      <alignment horizontal="left" vertical="center"/>
    </xf>
    <xf numFmtId="0" fontId="0" fillId="24" borderId="90" xfId="0" applyFill="1" applyBorder="1" applyAlignment="1">
      <alignment horizontal="left" vertical="center" wrapText="1"/>
    </xf>
    <xf numFmtId="0" fontId="36" fillId="24" borderId="12" xfId="0" applyFont="1" applyFill="1" applyBorder="1" applyAlignment="1">
      <alignment horizontal="center" vertical="center" wrapText="1"/>
    </xf>
    <xf numFmtId="0" fontId="36" fillId="24" borderId="29" xfId="0" applyFont="1" applyFill="1" applyBorder="1" applyAlignment="1">
      <alignment horizontal="center" vertical="center" wrapText="1"/>
    </xf>
    <xf numFmtId="0" fontId="36" fillId="24" borderId="11" xfId="0" applyFont="1" applyFill="1" applyBorder="1" applyAlignment="1">
      <alignment horizontal="center" vertical="center" wrapText="1"/>
    </xf>
    <xf numFmtId="176" fontId="56" fillId="24" borderId="175" xfId="0" applyNumberFormat="1" applyFont="1" applyFill="1" applyBorder="1" applyAlignment="1">
      <alignment horizontal="center" vertical="center" shrinkToFit="1"/>
    </xf>
    <xf numFmtId="176" fontId="56" fillId="24" borderId="176" xfId="0" applyNumberFormat="1" applyFont="1" applyFill="1" applyBorder="1" applyAlignment="1">
      <alignment horizontal="center" vertical="center" shrinkToFit="1"/>
    </xf>
    <xf numFmtId="0" fontId="113" fillId="24" borderId="0" xfId="0" applyFont="1" applyFill="1" applyBorder="1" applyAlignment="1">
      <alignment horizontal="left" vertical="center" wrapText="1"/>
    </xf>
    <xf numFmtId="0" fontId="36" fillId="24" borderId="14" xfId="0" applyFont="1" applyFill="1" applyBorder="1" applyAlignment="1">
      <alignment horizontal="center" vertical="center" wrapText="1"/>
    </xf>
    <xf numFmtId="0" fontId="36" fillId="24" borderId="90" xfId="0" applyFont="1" applyFill="1" applyBorder="1" applyAlignment="1">
      <alignment horizontal="center" vertical="center" wrapText="1"/>
    </xf>
    <xf numFmtId="0" fontId="36" fillId="24" borderId="84" xfId="0" applyFont="1" applyFill="1" applyBorder="1" applyAlignment="1">
      <alignment horizontal="center" vertical="center" wrapText="1"/>
    </xf>
    <xf numFmtId="0" fontId="81" fillId="24" borderId="12" xfId="0" applyFont="1" applyFill="1" applyBorder="1" applyAlignment="1">
      <alignment horizontal="left" vertical="center" wrapText="1"/>
    </xf>
    <xf numFmtId="0" fontId="81" fillId="24" borderId="29" xfId="0" applyFont="1" applyFill="1" applyBorder="1" applyAlignment="1">
      <alignment horizontal="left" vertical="center" wrapText="1"/>
    </xf>
    <xf numFmtId="0" fontId="81" fillId="24" borderId="11" xfId="0" applyFont="1" applyFill="1" applyBorder="1" applyAlignment="1">
      <alignment horizontal="left" vertical="center" wrapText="1"/>
    </xf>
    <xf numFmtId="0" fontId="81" fillId="24" borderId="12" xfId="0" applyFont="1" applyFill="1" applyBorder="1" applyAlignment="1">
      <alignment horizontal="left" vertical="center"/>
    </xf>
    <xf numFmtId="0" fontId="81" fillId="24" borderId="29" xfId="0" applyFont="1" applyFill="1" applyBorder="1" applyAlignment="1">
      <alignment horizontal="left" vertical="center"/>
    </xf>
    <xf numFmtId="0" fontId="81" fillId="24" borderId="11" xfId="0" applyFont="1" applyFill="1" applyBorder="1" applyAlignment="1">
      <alignment horizontal="left" vertical="center"/>
    </xf>
    <xf numFmtId="0" fontId="87" fillId="24" borderId="0" xfId="0" applyFont="1" applyFill="1" applyAlignment="1">
      <alignment horizontal="left" vertical="center" wrapText="1"/>
    </xf>
    <xf numFmtId="0" fontId="81" fillId="24" borderId="10" xfId="0" applyFont="1" applyFill="1" applyBorder="1" applyAlignment="1">
      <alignment horizontal="center" vertical="center"/>
    </xf>
    <xf numFmtId="0" fontId="81" fillId="24" borderId="14" xfId="0" applyFont="1" applyFill="1" applyBorder="1" applyAlignment="1">
      <alignment horizontal="center" vertical="center" wrapText="1"/>
    </xf>
    <xf numFmtId="0" fontId="81" fillId="24" borderId="16" xfId="0" applyFont="1" applyFill="1" applyBorder="1" applyAlignment="1">
      <alignment horizontal="center" vertical="center" wrapText="1"/>
    </xf>
    <xf numFmtId="0" fontId="82" fillId="24" borderId="12" xfId="99" applyFont="1" applyFill="1" applyBorder="1" applyAlignment="1">
      <alignment horizontal="left" vertical="center" wrapText="1"/>
    </xf>
    <xf numFmtId="0" fontId="82" fillId="24" borderId="29" xfId="99" applyFont="1" applyFill="1" applyBorder="1" applyAlignment="1">
      <alignment horizontal="left" vertical="center" wrapText="1"/>
    </xf>
    <xf numFmtId="0" fontId="82" fillId="24" borderId="11" xfId="99" applyFont="1" applyFill="1" applyBorder="1" applyAlignment="1">
      <alignment horizontal="left" vertical="center" wrapText="1"/>
    </xf>
    <xf numFmtId="0" fontId="82" fillId="24" borderId="12" xfId="99" applyFont="1" applyFill="1" applyBorder="1" applyAlignment="1">
      <alignment horizontal="center" vertical="center"/>
    </xf>
    <xf numFmtId="0" fontId="82" fillId="24" borderId="11" xfId="99" applyFont="1" applyFill="1" applyBorder="1" applyAlignment="1">
      <alignment horizontal="center" vertical="center"/>
    </xf>
    <xf numFmtId="0" fontId="82" fillId="24" borderId="12" xfId="99" applyFont="1" applyFill="1" applyBorder="1" applyAlignment="1">
      <alignment horizontal="center" vertical="center" wrapText="1"/>
    </xf>
    <xf numFmtId="0" fontId="82" fillId="24" borderId="0" xfId="99" applyFont="1" applyFill="1" applyAlignment="1">
      <alignment horizontal="left" vertical="top" wrapText="1"/>
    </xf>
    <xf numFmtId="0" fontId="32" fillId="0" borderId="0" xfId="0" applyFont="1" applyAlignment="1">
      <alignment horizontal="left" vertical="center" wrapText="1"/>
    </xf>
    <xf numFmtId="0" fontId="32" fillId="0" borderId="0" xfId="0" applyFont="1" applyAlignment="1">
      <alignment horizontal="left" vertical="top" wrapText="1"/>
    </xf>
    <xf numFmtId="49" fontId="59" fillId="0" borderId="54" xfId="0" applyNumberFormat="1" applyFont="1" applyBorder="1" applyAlignment="1">
      <alignment horizontal="center" vertical="center"/>
    </xf>
    <xf numFmtId="49" fontId="59" fillId="0" borderId="73" xfId="0" applyNumberFormat="1" applyFont="1" applyBorder="1" applyAlignment="1">
      <alignment horizontal="center" vertical="center"/>
    </xf>
    <xf numFmtId="0" fontId="74" fillId="0" borderId="71" xfId="0" applyFont="1" applyBorder="1" applyAlignment="1">
      <alignment horizontal="center" vertical="center"/>
    </xf>
    <xf numFmtId="0" fontId="74" fillId="0" borderId="30" xfId="0" applyFont="1" applyBorder="1" applyAlignment="1">
      <alignment horizontal="center" vertical="center"/>
    </xf>
    <xf numFmtId="0" fontId="74" fillId="0" borderId="74" xfId="0" applyFont="1" applyBorder="1" applyAlignment="1">
      <alignment horizontal="center" vertical="center"/>
    </xf>
    <xf numFmtId="0" fontId="74" fillId="0" borderId="71" xfId="0" applyFont="1" applyBorder="1" applyAlignment="1">
      <alignment horizontal="center" vertical="center" wrapText="1"/>
    </xf>
    <xf numFmtId="0" fontId="74" fillId="0" borderId="75" xfId="0" applyFont="1" applyBorder="1" applyAlignment="1">
      <alignment horizontal="center" vertical="center" wrapText="1"/>
    </xf>
    <xf numFmtId="0" fontId="74" fillId="0" borderId="78" xfId="0" applyFont="1" applyBorder="1" applyAlignment="1">
      <alignment horizontal="center" vertical="center"/>
    </xf>
    <xf numFmtId="0" fontId="74" fillId="0" borderId="55" xfId="0" applyFont="1" applyBorder="1" applyAlignment="1">
      <alignment horizontal="center" vertical="center"/>
    </xf>
    <xf numFmtId="0" fontId="74" fillId="0" borderId="77" xfId="0" applyFont="1" applyBorder="1" applyAlignment="1">
      <alignment horizontal="center" vertical="center"/>
    </xf>
    <xf numFmtId="0" fontId="33" fillId="0" borderId="46" xfId="0" applyFont="1" applyBorder="1" applyAlignment="1">
      <alignment horizontal="center" vertical="center"/>
    </xf>
    <xf numFmtId="0" fontId="33" fillId="0" borderId="48" xfId="0" applyFont="1" applyBorder="1" applyAlignment="1">
      <alignment horizontal="center" vertical="center"/>
    </xf>
    <xf numFmtId="0" fontId="32" fillId="0" borderId="55" xfId="43" applyFont="1" applyBorder="1" applyAlignment="1">
      <alignment horizontal="center" vertical="center" wrapText="1"/>
    </xf>
    <xf numFmtId="0" fontId="32" fillId="0" borderId="56" xfId="43" applyFont="1" applyBorder="1" applyAlignment="1">
      <alignment horizontal="center" vertical="center" wrapText="1"/>
    </xf>
    <xf numFmtId="0" fontId="32" fillId="0" borderId="57" xfId="43" applyFont="1" applyBorder="1" applyAlignment="1">
      <alignment horizontal="center" vertical="center" wrapText="1"/>
    </xf>
    <xf numFmtId="0" fontId="32" fillId="0" borderId="71" xfId="43" applyFont="1" applyBorder="1" applyAlignment="1">
      <alignment horizontal="center" vertical="center" wrapText="1"/>
    </xf>
    <xf numFmtId="0" fontId="32" fillId="0" borderId="78" xfId="43" applyFont="1" applyBorder="1" applyAlignment="1">
      <alignment horizontal="center" vertical="center" wrapText="1"/>
    </xf>
    <xf numFmtId="0" fontId="32" fillId="0" borderId="75" xfId="43" applyFont="1" applyBorder="1" applyAlignment="1">
      <alignment horizontal="center" vertical="center" wrapText="1"/>
    </xf>
    <xf numFmtId="0" fontId="32" fillId="0" borderId="64" xfId="43" applyFont="1" applyBorder="1" applyAlignment="1">
      <alignment horizontal="center" vertical="center" wrapText="1"/>
    </xf>
    <xf numFmtId="0" fontId="32" fillId="0" borderId="15" xfId="43" applyFont="1" applyBorder="1" applyAlignment="1">
      <alignment horizontal="center" vertical="center" wrapText="1"/>
    </xf>
    <xf numFmtId="0" fontId="32" fillId="0" borderId="61" xfId="43" applyFont="1" applyBorder="1" applyAlignment="1">
      <alignment horizontal="center" vertical="center" wrapText="1"/>
    </xf>
  </cellXfs>
  <cellStyles count="102">
    <cellStyle name="20% - アクセント 1" xfId="1" builtinId="30" customBuiltin="1"/>
    <cellStyle name="20% - アクセント 1 2" xfId="52" xr:uid="{890BDFB7-E042-40A4-8DC1-AD1E568C83FE}"/>
    <cellStyle name="20% - アクセント 2" xfId="2" builtinId="34" customBuiltin="1"/>
    <cellStyle name="20% - アクセント 2 2" xfId="53" xr:uid="{A93F60BB-CE08-4797-AE23-B534F13282BE}"/>
    <cellStyle name="20% - アクセント 3" xfId="3" builtinId="38" customBuiltin="1"/>
    <cellStyle name="20% - アクセント 3 2" xfId="54" xr:uid="{F66F9971-AA90-4C5B-B7A2-C7CA5C15976D}"/>
    <cellStyle name="20% - アクセント 4" xfId="4" builtinId="42" customBuiltin="1"/>
    <cellStyle name="20% - アクセント 4 2" xfId="55" xr:uid="{2B466ECC-942B-4991-9C9F-2BBDD2D5B754}"/>
    <cellStyle name="20% - アクセント 5" xfId="5" builtinId="46" customBuiltin="1"/>
    <cellStyle name="20% - アクセント 5 2" xfId="56" xr:uid="{B8961D37-298C-4A5C-9E2C-E11527A7B9AC}"/>
    <cellStyle name="20% - アクセント 6" xfId="6" builtinId="50" customBuiltin="1"/>
    <cellStyle name="20% - アクセント 6 2" xfId="57" xr:uid="{9CBD2526-C10D-4332-96EE-F0CCDEEE2F14}"/>
    <cellStyle name="40% - アクセント 1" xfId="7" builtinId="31" customBuiltin="1"/>
    <cellStyle name="40% - アクセント 1 2" xfId="58" xr:uid="{106D1D9E-1519-4420-9FEE-C90CD3F7C606}"/>
    <cellStyle name="40% - アクセント 2" xfId="8" builtinId="35" customBuiltin="1"/>
    <cellStyle name="40% - アクセント 2 2" xfId="59" xr:uid="{FFF19ACF-ADCD-4C41-A627-C188966A39F5}"/>
    <cellStyle name="40% - アクセント 3" xfId="9" builtinId="39" customBuiltin="1"/>
    <cellStyle name="40% - アクセント 3 2" xfId="60" xr:uid="{8473581D-A54A-4699-B310-8C17CEF109B6}"/>
    <cellStyle name="40% - アクセント 4" xfId="10" builtinId="43" customBuiltin="1"/>
    <cellStyle name="40% - アクセント 4 2" xfId="61" xr:uid="{5783AE6D-5BB3-451A-BFD1-EE9C7FCB8AA2}"/>
    <cellStyle name="40% - アクセント 5" xfId="11" builtinId="47" customBuiltin="1"/>
    <cellStyle name="40% - アクセント 5 2" xfId="62" xr:uid="{567B2048-2605-46F9-883E-4FE12F0B09E6}"/>
    <cellStyle name="40% - アクセント 6" xfId="12" builtinId="51" customBuiltin="1"/>
    <cellStyle name="40% - アクセント 6 2" xfId="63" xr:uid="{E159CC8F-A159-4B84-88E6-EB223A750A19}"/>
    <cellStyle name="60% - アクセント 1" xfId="13" builtinId="32" customBuiltin="1"/>
    <cellStyle name="60% - アクセント 1 2" xfId="64" xr:uid="{A0BD033B-82FD-4463-9B9E-998AF0152427}"/>
    <cellStyle name="60% - アクセント 2" xfId="14" builtinId="36" customBuiltin="1"/>
    <cellStyle name="60% - アクセント 2 2" xfId="65" xr:uid="{1A9A8DC4-BB17-4034-9952-459E4ACEFD31}"/>
    <cellStyle name="60% - アクセント 3" xfId="15" builtinId="40" customBuiltin="1"/>
    <cellStyle name="60% - アクセント 3 2" xfId="66" xr:uid="{099F04E3-0E6F-42D2-ABB7-DFC47D1EAA17}"/>
    <cellStyle name="60% - アクセント 4" xfId="16" builtinId="44" customBuiltin="1"/>
    <cellStyle name="60% - アクセント 4 2" xfId="67" xr:uid="{60B227EF-D021-485B-A011-B243C11BA2E0}"/>
    <cellStyle name="60% - アクセント 5" xfId="17" builtinId="48" customBuiltin="1"/>
    <cellStyle name="60% - アクセント 5 2" xfId="68" xr:uid="{91F2547D-4643-4AB1-B18A-868E6C072DD5}"/>
    <cellStyle name="60% - アクセント 6" xfId="18" builtinId="52" customBuiltin="1"/>
    <cellStyle name="60% - アクセント 6 2" xfId="69" xr:uid="{639ACBB3-F444-4498-B607-B04340A3022E}"/>
    <cellStyle name="アクセント 1" xfId="19" builtinId="29" customBuiltin="1"/>
    <cellStyle name="アクセント 1 2" xfId="70" xr:uid="{5D7E33B6-B32A-48C5-8010-D91FBDBB92A5}"/>
    <cellStyle name="アクセント 2" xfId="20" builtinId="33" customBuiltin="1"/>
    <cellStyle name="アクセント 2 2" xfId="71" xr:uid="{D5BD9AE2-C4E3-4DD0-B65B-EA6B98BB64C6}"/>
    <cellStyle name="アクセント 3" xfId="21" builtinId="37" customBuiltin="1"/>
    <cellStyle name="アクセント 3 2" xfId="72" xr:uid="{C2D2059D-AA49-46D4-8C9F-BC6FB034672E}"/>
    <cellStyle name="アクセント 4" xfId="22" builtinId="41" customBuiltin="1"/>
    <cellStyle name="アクセント 4 2" xfId="73" xr:uid="{BDC88D91-2384-4387-8E56-6902E68D2B73}"/>
    <cellStyle name="アクセント 5" xfId="23" builtinId="45" customBuiltin="1"/>
    <cellStyle name="アクセント 5 2" xfId="74" xr:uid="{81723CDC-CC1A-48B7-BA12-BE30D48F4AA6}"/>
    <cellStyle name="アクセント 6" xfId="24" builtinId="49" customBuiltin="1"/>
    <cellStyle name="アクセント 6 2" xfId="75" xr:uid="{7E02AF1E-F595-4DC6-AEEA-5FD7D06AF3FF}"/>
    <cellStyle name="タイトル" xfId="25" builtinId="15" customBuiltin="1"/>
    <cellStyle name="タイトル 2" xfId="76" xr:uid="{AEBDDFD0-1117-4301-A58A-AA7057A8BDB0}"/>
    <cellStyle name="チェック セル" xfId="26" builtinId="23" customBuiltin="1"/>
    <cellStyle name="チェック セル 2" xfId="77" xr:uid="{E00C3C2E-975C-4474-9BFA-85666D99A186}"/>
    <cellStyle name="どちらでもない" xfId="27" builtinId="28" customBuiltin="1"/>
    <cellStyle name="どちらでもない 2" xfId="78" xr:uid="{1EC0E63A-96D9-4367-BC73-DB5B60E4210C}"/>
    <cellStyle name="パーセント" xfId="28" builtinId="5"/>
    <cellStyle name="パーセント 2" xfId="50" xr:uid="{9568A852-D2E0-4E79-A360-978E2721C58E}"/>
    <cellStyle name="ハイパーリンク" xfId="48" builtinId="8"/>
    <cellStyle name="メモ" xfId="29" builtinId="10" customBuiltin="1"/>
    <cellStyle name="メモ 2" xfId="79" xr:uid="{D66D1D84-DDAE-419F-80E3-816D6F74F2DC}"/>
    <cellStyle name="リンク セル" xfId="30" builtinId="24" customBuiltin="1"/>
    <cellStyle name="リンク セル 2" xfId="80" xr:uid="{AE0E01AB-03E7-41FF-AA48-682E0DE1603F}"/>
    <cellStyle name="悪い" xfId="31" builtinId="27" customBuiltin="1"/>
    <cellStyle name="悪い 2" xfId="81" xr:uid="{66296596-0D6D-4FFE-BFCC-A03296E3D3A8}"/>
    <cellStyle name="計算" xfId="32" builtinId="22" customBuiltin="1"/>
    <cellStyle name="計算 2" xfId="82" xr:uid="{ABA2BC2A-612C-4683-86A7-0E68486E7DB8}"/>
    <cellStyle name="警告文" xfId="33" builtinId="11" customBuiltin="1"/>
    <cellStyle name="警告文 2" xfId="83" xr:uid="{439AEB0F-6F59-4E70-839B-4892FDE90935}"/>
    <cellStyle name="桁区切り" xfId="34" builtinId="6"/>
    <cellStyle name="桁区切り 2" xfId="49" xr:uid="{0BF3C154-9D88-494C-BB91-3E5884B0D5AD}"/>
    <cellStyle name="見出し 1" xfId="35" builtinId="16" customBuiltin="1"/>
    <cellStyle name="見出し 1 2" xfId="84" xr:uid="{8833C4CA-DFA0-4C07-9CF1-C51EB173B2C7}"/>
    <cellStyle name="見出し 2" xfId="36" builtinId="17" customBuiltin="1"/>
    <cellStyle name="見出し 2 2" xfId="85" xr:uid="{421295FD-9DAE-48E1-9ABF-52073BE1D76E}"/>
    <cellStyle name="見出し 3" xfId="37" builtinId="18" customBuiltin="1"/>
    <cellStyle name="見出し 3 2" xfId="86" xr:uid="{0CC6F667-E5F7-4EFB-819C-7B49F342B057}"/>
    <cellStyle name="見出し 4" xfId="38" builtinId="19" customBuiltin="1"/>
    <cellStyle name="見出し 4 2" xfId="87" xr:uid="{8B2B353B-152F-4F31-AA3D-C1C74717DC5F}"/>
    <cellStyle name="集計" xfId="39" builtinId="25" customBuiltin="1"/>
    <cellStyle name="集計 2" xfId="88" xr:uid="{7F965B74-40CA-4441-82EC-B9AB3904725A}"/>
    <cellStyle name="出力" xfId="40" builtinId="21" customBuiltin="1"/>
    <cellStyle name="出力 2" xfId="89" xr:uid="{7B0B005B-0606-407F-8459-F3554BA0DEBF}"/>
    <cellStyle name="説明文" xfId="41" builtinId="53" customBuiltin="1"/>
    <cellStyle name="説明文 2" xfId="90" xr:uid="{9B009CA0-7C98-42A6-BADE-2E2203D4453B}"/>
    <cellStyle name="入力" xfId="42" builtinId="20" customBuiltin="1"/>
    <cellStyle name="入力 2" xfId="91" xr:uid="{85031E38-0BB7-4EE2-9A76-83BA3DAB1251}"/>
    <cellStyle name="標準" xfId="0" builtinId="0"/>
    <cellStyle name="標準 10" xfId="97" xr:uid="{1BCF5761-1A35-4AE9-AC38-094C542953D5}"/>
    <cellStyle name="標準 2" xfId="43" xr:uid="{00000000-0005-0000-0000-00002C000000}"/>
    <cellStyle name="標準 2 2" xfId="51" xr:uid="{A0853B3B-BCC8-4669-935F-844BC3DDFBA4}"/>
    <cellStyle name="標準 2 3" xfId="92" xr:uid="{A5712C89-75E4-4F14-A7A7-8FECC186F7F6}"/>
    <cellStyle name="標準 2 4" xfId="99" xr:uid="{8620657A-A4F5-4ADC-A24D-000E9EEE2631}"/>
    <cellStyle name="標準 3" xfId="45" xr:uid="{00000000-0005-0000-0000-00002D000000}"/>
    <cellStyle name="標準 3 2" xfId="46" xr:uid="{00000000-0005-0000-0000-00002E000000}"/>
    <cellStyle name="標準 3 2 2" xfId="95" xr:uid="{D5F3183E-9E31-4B66-BFDE-D91A7DAE6598}"/>
    <cellStyle name="標準 3 3" xfId="47" xr:uid="{00000000-0005-0000-0000-00002F000000}"/>
    <cellStyle name="標準 3 3 2" xfId="96" xr:uid="{BE0DD03E-4068-4C0E-9DCB-6D942BE4C709}"/>
    <cellStyle name="標準 3 4" xfId="94" xr:uid="{C9F854C4-7861-4B74-A330-DC5426C63A2D}"/>
    <cellStyle name="標準 4" xfId="98" xr:uid="{E5873792-03DC-4186-B7D2-B4E4CA67CF45}"/>
    <cellStyle name="標準 4 2" xfId="101" xr:uid="{CFDEEEB1-F18C-4814-B926-812F1404DEF6}"/>
    <cellStyle name="標準 5" xfId="100" xr:uid="{928B4A22-1114-4090-BFFF-7F358399B1AB}"/>
    <cellStyle name="良い" xfId="44" builtinId="26" customBuiltin="1"/>
    <cellStyle name="良い 2" xfId="93" xr:uid="{9CA78D28-FBEC-4696-A5A9-2E7962BDE85F}"/>
  </cellStyles>
  <dxfs count="84">
    <dxf>
      <fill>
        <patternFill>
          <bgColor theme="9" tint="0.79998168889431442"/>
        </patternFill>
      </fill>
    </dxf>
    <dxf>
      <fill>
        <patternFill>
          <bgColor theme="0"/>
        </patternFill>
      </fill>
    </dxf>
    <dxf>
      <fill>
        <patternFill>
          <bgColor theme="0" tint="-0.34998626667073579"/>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patternType="solid">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ont>
        <b/>
        <i val="0"/>
        <color rgb="FFFF0000"/>
      </font>
    </dxf>
    <dxf>
      <fill>
        <patternFill>
          <bgColor theme="0"/>
        </patternFill>
      </fill>
    </dxf>
    <dxf>
      <fill>
        <patternFill patternType="none">
          <bgColor auto="1"/>
        </patternFill>
      </fill>
    </dxf>
    <dxf>
      <font>
        <color theme="2" tint="-9.9948118533890809E-2"/>
      </font>
      <fill>
        <patternFill>
          <fgColor theme="2" tint="-9.9917600024414813E-2"/>
          <bgColor theme="2" tint="-9.9948118533890809E-2"/>
        </patternFill>
      </fill>
      <border>
        <left/>
        <right/>
        <top/>
        <bottom/>
        <vertical/>
        <horizontal/>
      </border>
    </dxf>
    <dxf>
      <fill>
        <patternFill>
          <bgColor theme="9" tint="0.79998168889431442"/>
        </patternFill>
      </fill>
    </dxf>
    <dxf>
      <fill>
        <patternFill>
          <bgColor theme="0" tint="-0.34998626667073579"/>
        </patternFill>
      </fill>
    </dxf>
    <dxf>
      <fill>
        <patternFill>
          <bgColor theme="9" tint="0.79998168889431442"/>
        </patternFill>
      </fill>
    </dxf>
    <dxf>
      <fill>
        <patternFill>
          <bgColor theme="9" tint="0.79998168889431442"/>
        </patternFill>
      </fill>
    </dxf>
    <dxf>
      <fill>
        <patternFill patternType="solid">
          <bgColor theme="9" tint="0.79998168889431442"/>
        </patternFill>
      </fill>
    </dxf>
    <dxf>
      <fill>
        <patternFill>
          <bgColor theme="9" tint="0.79998168889431442"/>
        </patternFill>
      </fill>
    </dxf>
    <dxf>
      <fill>
        <patternFill patternType="solid">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ont>
        <b/>
        <i val="0"/>
        <color rgb="FFFF0000"/>
      </font>
    </dxf>
    <dxf>
      <fill>
        <patternFill>
          <bgColor theme="0"/>
        </patternFill>
      </fill>
    </dxf>
    <dxf>
      <fill>
        <patternFill patternType="none">
          <bgColor auto="1"/>
        </patternFill>
      </fill>
    </dxf>
    <dxf>
      <fill>
        <patternFill>
          <bgColor theme="1" tint="0.499984740745262"/>
        </patternFill>
      </fill>
    </dxf>
    <dxf>
      <font>
        <color theme="0" tint="-4.9989318521683403E-2"/>
      </font>
      <fill>
        <patternFill>
          <bgColor theme="0" tint="-4.9989318521683403E-2"/>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ill>
        <patternFill>
          <bgColor theme="0" tint="-0.34998626667073579"/>
        </patternFill>
      </fill>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ill>
        <patternFill>
          <bgColor theme="0" tint="-4.9989318521683403E-2"/>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ill>
        <patternFill>
          <bgColor theme="0" tint="-4.9989318521683403E-2"/>
        </patternFill>
      </fill>
    </dxf>
    <dxf>
      <font>
        <b val="0"/>
        <i val="0"/>
        <strike val="0"/>
        <color auto="1"/>
      </font>
      <fill>
        <patternFill>
          <bgColor rgb="FFFFF2CC"/>
        </patternFill>
      </fill>
      <border>
        <left style="thin">
          <color auto="1"/>
        </left>
        <right style="thin">
          <color auto="1"/>
        </right>
        <top style="thin">
          <color auto="1"/>
        </top>
        <bottom style="thin">
          <color auto="1"/>
        </bottom>
      </border>
    </dxf>
    <dxf>
      <font>
        <color theme="0" tint="-4.9989318521683403E-2"/>
      </font>
      <fill>
        <patternFill>
          <bgColor theme="0" tint="-4.9989318521683403E-2"/>
        </patternFill>
      </fill>
      <border>
        <left/>
        <right/>
        <top/>
        <bottom/>
        <vertical/>
        <horizontal/>
      </border>
    </dxf>
    <dxf>
      <font>
        <color theme="0" tint="-4.9989318521683403E-2"/>
      </font>
      <fill>
        <patternFill>
          <bgColor theme="0" tint="-4.9989318521683403E-2"/>
        </patternFill>
      </fill>
      <border>
        <left/>
        <right/>
        <top/>
        <bottom/>
      </border>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ont>
        <color theme="2" tint="-9.9948118533890809E-2"/>
      </font>
      <fill>
        <patternFill patternType="solid">
          <bgColor theme="2" tint="-9.9948118533890809E-2"/>
        </patternFill>
      </fill>
      <border>
        <left/>
        <right/>
        <top/>
        <bottom/>
        <vertical/>
        <horizontal/>
      </border>
    </dxf>
    <dxf>
      <font>
        <color theme="2" tint="-9.9948118533890809E-2"/>
      </font>
      <fill>
        <patternFill patternType="solid">
          <bgColor theme="2" tint="-9.9948118533890809E-2"/>
        </patternFill>
      </fill>
      <border>
        <right/>
        <top/>
        <bottom/>
        <vertical/>
        <horizontal/>
      </border>
    </dxf>
    <dxf>
      <font>
        <color theme="2" tint="-9.9948118533890809E-2"/>
      </font>
      <fill>
        <patternFill patternType="solid">
          <bgColor theme="2" tint="-9.9948118533890809E-2"/>
        </patternFill>
      </fill>
      <border>
        <right/>
        <top/>
        <bottom/>
        <vertical/>
        <horizontal/>
      </border>
    </dxf>
    <dxf>
      <fill>
        <patternFill>
          <bgColor rgb="FFFFC000"/>
        </patternFill>
      </fill>
    </dxf>
    <dxf>
      <font>
        <color theme="0" tint="-4.9989318521683403E-2"/>
      </font>
      <fill>
        <patternFill>
          <bgColor theme="0" tint="-4.9989318521683403E-2"/>
        </patternFill>
      </fill>
      <border>
        <left/>
        <right/>
        <top/>
        <bottom/>
        <vertical/>
        <horizontal/>
      </border>
    </dxf>
    <dxf>
      <fill>
        <patternFill>
          <bgColor theme="0" tint="-4.9989318521683403E-2"/>
        </patternFill>
      </fill>
    </dxf>
    <dxf>
      <font>
        <color theme="0" tint="-4.9989318521683403E-2"/>
      </font>
      <fill>
        <patternFill>
          <bgColor theme="0" tint="-4.9989318521683403E-2"/>
        </patternFill>
      </fill>
      <border>
        <left/>
        <right/>
        <top/>
        <bottom/>
      </border>
    </dxf>
    <dxf>
      <font>
        <color theme="0" tint="-4.9989318521683403E-2"/>
      </font>
      <fill>
        <patternFill>
          <bgColor theme="0" tint="-4.9989318521683403E-2"/>
        </patternFill>
      </fill>
      <border>
        <left/>
        <right/>
        <top/>
        <bottom/>
        <vertical/>
        <horizontal/>
      </border>
    </dxf>
    <dxf>
      <font>
        <color theme="0" tint="-4.9989318521683403E-2"/>
      </font>
      <fill>
        <patternFill>
          <bgColor theme="0" tint="-4.9989318521683403E-2"/>
        </patternFill>
      </fill>
      <border>
        <left/>
        <right/>
        <top/>
        <bottom/>
        <vertical/>
        <horizontal/>
      </border>
    </dxf>
    <dxf>
      <font>
        <color theme="0" tint="-4.9989318521683403E-2"/>
      </font>
      <fill>
        <patternFill>
          <bgColor theme="0" tint="-4.9989318521683403E-2"/>
        </patternFill>
      </fill>
      <border>
        <left/>
        <right/>
        <top/>
        <bottom/>
        <vertical/>
        <horizontal/>
      </border>
    </dxf>
    <dxf>
      <font>
        <color theme="0" tint="-4.9989318521683403E-2"/>
      </font>
      <fill>
        <patternFill>
          <bgColor theme="0" tint="-4.9989318521683403E-2"/>
        </patternFill>
      </fill>
      <border>
        <left/>
        <right/>
        <top/>
        <bottom/>
      </border>
    </dxf>
    <dxf>
      <font>
        <color theme="0" tint="-4.9989318521683403E-2"/>
      </font>
      <fill>
        <patternFill>
          <bgColor theme="0" tint="-4.9989318521683403E-2"/>
        </patternFill>
      </fill>
      <border>
        <left/>
        <right/>
        <top/>
        <bottom/>
        <vertical/>
        <horizontal/>
      </border>
    </dxf>
    <dxf>
      <font>
        <color theme="1"/>
      </font>
      <fill>
        <patternFill patternType="solid">
          <fgColor theme="0"/>
          <bgColor theme="0"/>
        </patternFill>
      </fill>
      <border>
        <left style="thin">
          <color auto="1"/>
        </left>
        <top style="thin">
          <color auto="1"/>
        </top>
        <bottom style="thin">
          <color auto="1"/>
        </bottom>
      </border>
    </dxf>
    <dxf>
      <font>
        <color theme="0" tint="-4.9989318521683403E-2"/>
      </font>
      <fill>
        <patternFill>
          <fgColor theme="0" tint="-4.9989318521683403E-2"/>
          <bgColor theme="0" tint="-4.9989318521683403E-2"/>
        </patternFill>
      </fill>
    </dxf>
    <dxf>
      <font>
        <color theme="2" tint="-9.9948118533890809E-2"/>
      </font>
      <fill>
        <patternFill patternType="solid">
          <bgColor theme="2" tint="-9.9948118533890809E-2"/>
        </patternFill>
      </fill>
      <border>
        <left/>
        <right/>
        <bottom/>
        <vertical/>
        <horizontal/>
      </border>
    </dxf>
    <dxf>
      <font>
        <color theme="0" tint="-4.9989318521683403E-2"/>
      </font>
      <fill>
        <patternFill>
          <bgColor theme="0" tint="-4.9989318521683403E-2"/>
        </patternFill>
      </fill>
      <border>
        <left/>
        <right/>
        <top/>
        <bottom/>
        <vertical/>
        <horizontal/>
      </border>
    </dxf>
    <dxf>
      <font>
        <color theme="0" tint="-4.9989318521683403E-2"/>
      </font>
      <fill>
        <patternFill>
          <bgColor theme="0" tint="-4.9989318521683403E-2"/>
        </patternFill>
      </fill>
      <border>
        <left/>
        <right/>
        <top/>
        <bottom/>
        <vertical/>
        <horizontal/>
      </border>
    </dxf>
    <dxf>
      <fill>
        <patternFill>
          <bgColor rgb="FFFFFFCC"/>
        </patternFill>
      </fill>
    </dxf>
  </dxfs>
  <tableStyles count="0" defaultTableStyle="TableStyleMedium2" defaultPivotStyle="PivotStyleLight16"/>
  <colors>
    <mruColors>
      <color rgb="FFFFF2CC"/>
      <color rgb="FFFFFFCC"/>
      <color rgb="FFFFDB9B"/>
      <color rgb="FFCCFFFF"/>
      <color rgb="FFFBC497"/>
      <color rgb="FFFFE5FC"/>
      <color rgb="FFFFFF99"/>
      <color rgb="FFCCFFCC"/>
      <color rgb="FFFFE2AF"/>
      <color rgb="FFFFD9C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3.xml"/></Relationships>
</file>

<file path=xl/ctrlProps/ctrlProp1.xml><?xml version="1.0" encoding="utf-8"?>
<formControlPr xmlns="http://schemas.microsoft.com/office/spreadsheetml/2009/9/main" objectType="CheckBox" checked="Checked" fmlaLink="$BA$116" noThreeD="1"/>
</file>

<file path=xl/ctrlProps/ctrlProp2.xml><?xml version="1.0" encoding="utf-8"?>
<formControlPr xmlns="http://schemas.microsoft.com/office/spreadsheetml/2009/9/main" objectType="CheckBox" checked="Checked" fmlaLink="$BA$117" lockText="1" noThreeD="1"/>
</file>

<file path=xl/ctrlProps/ctrlProp3.xml><?xml version="1.0" encoding="utf-8"?>
<formControlPr xmlns="http://schemas.microsoft.com/office/spreadsheetml/2009/9/main" objectType="CheckBox" checked="Checked" fmlaLink="$BA$118" lockText="1" noThreeD="1"/>
</file>

<file path=xl/ctrlProps/ctrlProp4.xml><?xml version="1.0" encoding="utf-8"?>
<formControlPr xmlns="http://schemas.microsoft.com/office/spreadsheetml/2009/9/main" objectType="CheckBox" checked="Checked" fmlaLink="$BA$119" lockText="1" noThreeD="1"/>
</file>

<file path=xl/ctrlProps/ctrlProp5.xml><?xml version="1.0" encoding="utf-8"?>
<formControlPr xmlns="http://schemas.microsoft.com/office/spreadsheetml/2009/9/main" objectType="CheckBox" checked="Checked" fmlaLink="$BA$120" lockText="1" noThreeD="1"/>
</file>

<file path=xl/ctrlProps/ctrlProp6.xml><?xml version="1.0" encoding="utf-8"?>
<formControlPr xmlns="http://schemas.microsoft.com/office/spreadsheetml/2009/9/main" objectType="CheckBox" checked="Checked" fmlaLink="$BA$122" lockText="1" noThreeD="1"/>
</file>

<file path=xl/ctrlProps/ctrlProp7.xml><?xml version="1.0" encoding="utf-8"?>
<formControlPr xmlns="http://schemas.microsoft.com/office/spreadsheetml/2009/9/main" objectType="CheckBox" checked="Checked" fmlaLink="$BA$121" lockText="1" noThreeD="1"/>
</file>

<file path=xl/drawings/drawing1.xml><?xml version="1.0" encoding="utf-8"?>
<xdr:wsDr xmlns:xdr="http://schemas.openxmlformats.org/drawingml/2006/spreadsheetDrawing" xmlns:a="http://schemas.openxmlformats.org/drawingml/2006/main">
  <xdr:twoCellAnchor>
    <xdr:from>
      <xdr:col>21</xdr:col>
      <xdr:colOff>8196</xdr:colOff>
      <xdr:row>5</xdr:row>
      <xdr:rowOff>81304</xdr:rowOff>
    </xdr:from>
    <xdr:to>
      <xdr:col>21</xdr:col>
      <xdr:colOff>503055</xdr:colOff>
      <xdr:row>6</xdr:row>
      <xdr:rowOff>79181</xdr:rowOff>
    </xdr:to>
    <xdr:sp macro="" textlink="">
      <xdr:nvSpPr>
        <xdr:cNvPr id="91" name="矢印: 右 12">
          <a:extLst>
            <a:ext uri="{FF2B5EF4-FFF2-40B4-BE49-F238E27FC236}">
              <a16:creationId xmlns:a16="http://schemas.microsoft.com/office/drawing/2014/main" id="{00000000-0008-0000-0000-00000D000000}"/>
            </a:ext>
          </a:extLst>
        </xdr:cNvPr>
        <xdr:cNvSpPr/>
      </xdr:nvSpPr>
      <xdr:spPr bwMode="auto">
        <a:xfrm>
          <a:off x="2261066" y="2011152"/>
          <a:ext cx="494859" cy="246355"/>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clientData/>
  </xdr:twoCellAnchor>
  <xdr:twoCellAnchor>
    <xdr:from>
      <xdr:col>0</xdr:col>
      <xdr:colOff>104848</xdr:colOff>
      <xdr:row>4</xdr:row>
      <xdr:rowOff>223721</xdr:rowOff>
    </xdr:from>
    <xdr:to>
      <xdr:col>14</xdr:col>
      <xdr:colOff>17063</xdr:colOff>
      <xdr:row>6</xdr:row>
      <xdr:rowOff>185242</xdr:rowOff>
    </xdr:to>
    <xdr:sp macro="" textlink="">
      <xdr:nvSpPr>
        <xdr:cNvPr id="74" name="四角形: 角を丸くする 13">
          <a:extLst>
            <a:ext uri="{FF2B5EF4-FFF2-40B4-BE49-F238E27FC236}">
              <a16:creationId xmlns:a16="http://schemas.microsoft.com/office/drawing/2014/main" id="{00000000-0008-0000-0000-00000E000000}"/>
            </a:ext>
          </a:extLst>
        </xdr:cNvPr>
        <xdr:cNvSpPr/>
      </xdr:nvSpPr>
      <xdr:spPr bwMode="auto">
        <a:xfrm>
          <a:off x="104848" y="1905091"/>
          <a:ext cx="1229150" cy="458477"/>
        </a:xfrm>
        <a:prstGeom prst="roundRect">
          <a:avLst/>
        </a:prstGeom>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ctr"/>
          <a:r>
            <a:rPr kumimoji="1" lang="ja-JP" altLang="en-US" sz="1000" b="1">
              <a:solidFill>
                <a:sysClr val="windowText" lastClr="000000"/>
              </a:solidFill>
            </a:rPr>
            <a:t>入力及び提出の流れ</a:t>
          </a:r>
        </a:p>
      </xdr:txBody>
    </xdr:sp>
    <xdr:clientData/>
  </xdr:twoCellAnchor>
  <xdr:twoCellAnchor>
    <xdr:from>
      <xdr:col>34</xdr:col>
      <xdr:colOff>113474</xdr:colOff>
      <xdr:row>2</xdr:row>
      <xdr:rowOff>183173</xdr:rowOff>
    </xdr:from>
    <xdr:to>
      <xdr:col>35</xdr:col>
      <xdr:colOff>1273053</xdr:colOff>
      <xdr:row>5</xdr:row>
      <xdr:rowOff>100744</xdr:rowOff>
    </xdr:to>
    <xdr:sp macro="" textlink="">
      <xdr:nvSpPr>
        <xdr:cNvPr id="8" name="正方形/長方形 7">
          <a:extLst>
            <a:ext uri="{FF2B5EF4-FFF2-40B4-BE49-F238E27FC236}">
              <a16:creationId xmlns:a16="http://schemas.microsoft.com/office/drawing/2014/main" id="{00000000-0008-0000-0000-000008000000}"/>
            </a:ext>
          </a:extLst>
        </xdr:cNvPr>
        <xdr:cNvSpPr/>
      </xdr:nvSpPr>
      <xdr:spPr bwMode="auto">
        <a:xfrm>
          <a:off x="11680854" y="1099038"/>
          <a:ext cx="2597487" cy="915865"/>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ja-JP" altLang="en-US" sz="900"/>
            <a:t>　</a:t>
          </a:r>
          <a:r>
            <a:rPr kumimoji="1" lang="en-US" altLang="ja-JP" sz="900"/>
            <a:t>【</a:t>
          </a:r>
          <a:r>
            <a:rPr kumimoji="1" lang="ja-JP" altLang="en-US" sz="900"/>
            <a:t>凡例</a:t>
          </a:r>
          <a:r>
            <a:rPr kumimoji="1" lang="en-US" altLang="ja-JP" sz="900"/>
            <a:t>】</a:t>
          </a:r>
          <a:r>
            <a:rPr kumimoji="1" lang="ja-JP" altLang="en-US" sz="900"/>
            <a:t>（基本情報入力シート）</a:t>
          </a:r>
          <a:endParaRPr kumimoji="1" lang="en-US" altLang="ja-JP" sz="900"/>
        </a:p>
        <a:p>
          <a:pPr algn="l"/>
          <a:r>
            <a:rPr kumimoji="1" lang="ja-JP" altLang="en-US" sz="900"/>
            <a:t>　　色付きのセルに必要事項を入力してください。</a:t>
          </a:r>
          <a:endParaRPr kumimoji="1" lang="en-US" altLang="ja-JP" sz="900"/>
        </a:p>
        <a:p>
          <a:pPr algn="l"/>
          <a:r>
            <a:rPr kumimoji="1" lang="en-US" altLang="ja-JP" sz="900"/>
            <a:t> </a:t>
          </a:r>
          <a:r>
            <a:rPr kumimoji="1" lang="ja-JP" altLang="en-US" sz="900"/>
            <a:t>　　　　　　　　　</a:t>
          </a:r>
          <a:r>
            <a:rPr kumimoji="1" lang="ja-JP" altLang="ja-JP" sz="1100">
              <a:solidFill>
                <a:schemeClr val="dk1"/>
              </a:solidFill>
              <a:effectLst/>
              <a:latin typeface="+mn-lt"/>
              <a:ea typeface="+mn-ea"/>
              <a:cs typeface="+mn-cs"/>
            </a:rPr>
            <a:t>入力セル　　</a:t>
          </a:r>
          <a:endParaRPr kumimoji="1" lang="en-US" altLang="ja-JP" sz="900"/>
        </a:p>
      </xdr:txBody>
    </xdr:sp>
    <xdr:clientData/>
  </xdr:twoCellAnchor>
  <xdr:twoCellAnchor>
    <xdr:from>
      <xdr:col>31</xdr:col>
      <xdr:colOff>106413</xdr:colOff>
      <xdr:row>0</xdr:row>
      <xdr:rowOff>112595</xdr:rowOff>
    </xdr:from>
    <xdr:to>
      <xdr:col>32</xdr:col>
      <xdr:colOff>452502</xdr:colOff>
      <xdr:row>0</xdr:row>
      <xdr:rowOff>432160</xdr:rowOff>
    </xdr:to>
    <xdr:sp macro="" textlink="">
      <xdr:nvSpPr>
        <xdr:cNvPr id="24" name="テキスト ボックス 1">
          <a:extLst>
            <a:ext uri="{FF2B5EF4-FFF2-40B4-BE49-F238E27FC236}">
              <a16:creationId xmlns:a16="http://schemas.microsoft.com/office/drawing/2014/main" id="{D47E1DA3-1EFE-5575-6A77-6E02EB5E32C3}"/>
            </a:ext>
          </a:extLst>
        </xdr:cNvPr>
        <xdr:cNvSpPr txBox="1"/>
      </xdr:nvSpPr>
      <xdr:spPr>
        <a:xfrm>
          <a:off x="6094739" y="112595"/>
          <a:ext cx="901024" cy="319565"/>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200" b="1"/>
            <a:t>別紙様式２</a:t>
          </a:r>
          <a:endParaRPr kumimoji="1" lang="ja-JP" altLang="en-US" sz="1000" b="1"/>
        </a:p>
      </xdr:txBody>
    </xdr:sp>
    <xdr:clientData/>
  </xdr:twoCellAnchor>
  <xdr:twoCellAnchor>
    <xdr:from>
      <xdr:col>34</xdr:col>
      <xdr:colOff>307276</xdr:colOff>
      <xdr:row>3</xdr:row>
      <xdr:rowOff>492487</xdr:rowOff>
    </xdr:from>
    <xdr:to>
      <xdr:col>34</xdr:col>
      <xdr:colOff>760168</xdr:colOff>
      <xdr:row>4</xdr:row>
      <xdr:rowOff>109904</xdr:rowOff>
    </xdr:to>
    <xdr:sp macro="" textlink="">
      <xdr:nvSpPr>
        <xdr:cNvPr id="42" name="正方形/長方形 41">
          <a:extLst>
            <a:ext uri="{FF2B5EF4-FFF2-40B4-BE49-F238E27FC236}">
              <a16:creationId xmlns:a16="http://schemas.microsoft.com/office/drawing/2014/main" id="{1E9C3DA8-A28A-415A-9C7E-1CD316621A8C}"/>
            </a:ext>
          </a:extLst>
        </xdr:cNvPr>
        <xdr:cNvSpPr/>
      </xdr:nvSpPr>
      <xdr:spPr bwMode="auto">
        <a:xfrm>
          <a:off x="11874656" y="1646477"/>
          <a:ext cx="452892" cy="130302"/>
        </a:xfrm>
        <a:prstGeom prst="rect">
          <a:avLst/>
        </a:prstGeom>
        <a:solidFill>
          <a:srgbClr val="FFFFCC"/>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clientData/>
  </xdr:twoCellAnchor>
  <xdr:twoCellAnchor>
    <xdr:from>
      <xdr:col>15</xdr:col>
      <xdr:colOff>15431</xdr:colOff>
      <xdr:row>4</xdr:row>
      <xdr:rowOff>76575</xdr:rowOff>
    </xdr:from>
    <xdr:to>
      <xdr:col>20</xdr:col>
      <xdr:colOff>65439</xdr:colOff>
      <xdr:row>7</xdr:row>
      <xdr:rowOff>85815</xdr:rowOff>
    </xdr:to>
    <xdr:sp macro="" textlink="">
      <xdr:nvSpPr>
        <xdr:cNvPr id="73" name="テキスト ボックス 5">
          <a:extLst>
            <a:ext uri="{FF2B5EF4-FFF2-40B4-BE49-F238E27FC236}">
              <a16:creationId xmlns:a16="http://schemas.microsoft.com/office/drawing/2014/main" id="{74089B8D-F178-49CF-A17B-007F95272A61}"/>
            </a:ext>
          </a:extLst>
        </xdr:cNvPr>
        <xdr:cNvSpPr txBox="1"/>
      </xdr:nvSpPr>
      <xdr:spPr>
        <a:xfrm>
          <a:off x="1411462" y="1756174"/>
          <a:ext cx="740752" cy="750881"/>
        </a:xfrm>
        <a:prstGeom prst="rect">
          <a:avLst/>
        </a:prstGeom>
        <a:no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ja-JP" sz="900" b="1">
              <a:solidFill>
                <a:schemeClr val="dk1"/>
              </a:solidFill>
              <a:effectLst/>
              <a:latin typeface="+mn-lt"/>
              <a:ea typeface="+mn-ea"/>
              <a:cs typeface="+mn-cs"/>
            </a:rPr>
            <a:t> 基本情報</a:t>
          </a:r>
          <a:endParaRPr lang="ja-JP" altLang="ja-JP" sz="900" b="1">
            <a:effectLst/>
          </a:endParaRPr>
        </a:p>
        <a:p>
          <a:r>
            <a:rPr kumimoji="1" lang="en-US" altLang="ja-JP" sz="900" b="1">
              <a:solidFill>
                <a:schemeClr val="dk1"/>
              </a:solidFill>
              <a:effectLst/>
              <a:latin typeface="+mn-lt"/>
              <a:ea typeface="+mn-ea"/>
              <a:cs typeface="+mn-cs"/>
            </a:rPr>
            <a:t> </a:t>
          </a:r>
          <a:r>
            <a:rPr kumimoji="1" lang="ja-JP" altLang="ja-JP" sz="900" b="1">
              <a:solidFill>
                <a:schemeClr val="dk1"/>
              </a:solidFill>
              <a:effectLst/>
              <a:latin typeface="+mn-lt"/>
              <a:ea typeface="+mn-ea"/>
              <a:cs typeface="+mn-cs"/>
            </a:rPr>
            <a:t>入力シート</a:t>
          </a:r>
          <a:endParaRPr kumimoji="1" lang="en-US" altLang="ja-JP" sz="900" b="1">
            <a:solidFill>
              <a:schemeClr val="dk1"/>
            </a:solidFill>
            <a:effectLst/>
            <a:latin typeface="+mn-lt"/>
            <a:ea typeface="+mn-ea"/>
            <a:cs typeface="+mn-cs"/>
          </a:endParaRPr>
        </a:p>
      </xdr:txBody>
    </xdr:sp>
    <xdr:clientData/>
  </xdr:twoCellAnchor>
  <xdr:twoCellAnchor>
    <xdr:from>
      <xdr:col>22</xdr:col>
      <xdr:colOff>79673</xdr:colOff>
      <xdr:row>4</xdr:row>
      <xdr:rowOff>79432</xdr:rowOff>
    </xdr:from>
    <xdr:to>
      <xdr:col>23</xdr:col>
      <xdr:colOff>146037</xdr:colOff>
      <xdr:row>7</xdr:row>
      <xdr:rowOff>81052</xdr:rowOff>
    </xdr:to>
    <xdr:sp macro="" textlink="">
      <xdr:nvSpPr>
        <xdr:cNvPr id="86" name="テキスト ボックス 14">
          <a:extLst>
            <a:ext uri="{FF2B5EF4-FFF2-40B4-BE49-F238E27FC236}">
              <a16:creationId xmlns:a16="http://schemas.microsoft.com/office/drawing/2014/main" id="{EC8E1CFD-E0F5-4E8F-95D1-4127E94ED44F}"/>
            </a:ext>
          </a:extLst>
        </xdr:cNvPr>
        <xdr:cNvSpPr txBox="1"/>
      </xdr:nvSpPr>
      <xdr:spPr>
        <a:xfrm>
          <a:off x="2846064" y="1760802"/>
          <a:ext cx="1068560" cy="747054"/>
        </a:xfrm>
        <a:prstGeom prst="rect">
          <a:avLst/>
        </a:prstGeom>
        <a:solidFill>
          <a:schemeClr val="bg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ja-JP" sz="900" b="1">
              <a:solidFill>
                <a:schemeClr val="dk1"/>
              </a:solidFill>
              <a:effectLst/>
              <a:latin typeface="+mn-lt"/>
              <a:ea typeface="+mn-ea"/>
              <a:cs typeface="+mn-cs"/>
            </a:rPr>
            <a:t> </a:t>
          </a:r>
          <a:r>
            <a:rPr kumimoji="1" lang="ja-JP" altLang="en-US" sz="900" b="1">
              <a:solidFill>
                <a:schemeClr val="dk1"/>
              </a:solidFill>
              <a:effectLst/>
              <a:latin typeface="+mn-lt"/>
              <a:ea typeface="+mn-ea"/>
              <a:cs typeface="+mn-cs"/>
            </a:rPr>
            <a:t>別紙様式</a:t>
          </a:r>
          <a:endParaRPr kumimoji="1" lang="en-US" altLang="ja-JP" sz="900" b="1">
            <a:solidFill>
              <a:schemeClr val="dk1"/>
            </a:solidFill>
            <a:effectLst/>
            <a:latin typeface="+mn-lt"/>
            <a:ea typeface="+mn-ea"/>
            <a:cs typeface="+mn-cs"/>
          </a:endParaRPr>
        </a:p>
        <a:p>
          <a:r>
            <a:rPr kumimoji="1" lang="ja-JP" altLang="en-US" sz="900" b="1">
              <a:solidFill>
                <a:schemeClr val="dk1"/>
              </a:solidFill>
              <a:effectLst/>
              <a:latin typeface="+mn-lt"/>
              <a:ea typeface="+mn-ea"/>
              <a:cs typeface="+mn-cs"/>
            </a:rPr>
            <a:t> ２－２</a:t>
          </a:r>
        </a:p>
        <a:p>
          <a:r>
            <a:rPr kumimoji="1" lang="ja-JP" altLang="en-US" sz="900" b="1">
              <a:solidFill>
                <a:schemeClr val="dk1"/>
              </a:solidFill>
              <a:effectLst/>
              <a:latin typeface="+mn-lt"/>
              <a:ea typeface="+mn-ea"/>
              <a:cs typeface="+mn-cs"/>
            </a:rPr>
            <a:t>（個票（４，５月））</a:t>
          </a:r>
        </a:p>
      </xdr:txBody>
    </xdr:sp>
    <xdr:clientData/>
  </xdr:twoCellAnchor>
  <xdr:twoCellAnchor>
    <xdr:from>
      <xdr:col>29</xdr:col>
      <xdr:colOff>646706</xdr:colOff>
      <xdr:row>4</xdr:row>
      <xdr:rowOff>55477</xdr:rowOff>
    </xdr:from>
    <xdr:to>
      <xdr:col>30</xdr:col>
      <xdr:colOff>686898</xdr:colOff>
      <xdr:row>7</xdr:row>
      <xdr:rowOff>105007</xdr:rowOff>
    </xdr:to>
    <xdr:sp macro="" textlink="">
      <xdr:nvSpPr>
        <xdr:cNvPr id="101" name="テキスト ボックス 19">
          <a:extLst>
            <a:ext uri="{FF2B5EF4-FFF2-40B4-BE49-F238E27FC236}">
              <a16:creationId xmlns:a16="http://schemas.microsoft.com/office/drawing/2014/main" id="{18CC21A7-2EDB-4BAB-BB33-C32A8F93B0F7}"/>
            </a:ext>
          </a:extLst>
        </xdr:cNvPr>
        <xdr:cNvSpPr txBox="1"/>
      </xdr:nvSpPr>
      <xdr:spPr>
        <a:xfrm>
          <a:off x="8513990" y="1722352"/>
          <a:ext cx="983533" cy="791381"/>
        </a:xfrm>
        <a:prstGeom prst="rect">
          <a:avLst/>
        </a:prstGeom>
        <a:solidFill>
          <a:schemeClr val="bg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900" b="1">
              <a:solidFill>
                <a:schemeClr val="dk1"/>
              </a:solidFill>
              <a:effectLst/>
              <a:latin typeface="+mn-lt"/>
              <a:ea typeface="+mn-ea"/>
              <a:cs typeface="+mn-cs"/>
            </a:rPr>
            <a:t>指定権者に提出</a:t>
          </a:r>
        </a:p>
      </xdr:txBody>
    </xdr:sp>
    <xdr:clientData/>
  </xdr:twoCellAnchor>
  <xdr:twoCellAnchor>
    <xdr:from>
      <xdr:col>23</xdr:col>
      <xdr:colOff>241891</xdr:colOff>
      <xdr:row>5</xdr:row>
      <xdr:rowOff>78446</xdr:rowOff>
    </xdr:from>
    <xdr:to>
      <xdr:col>24</xdr:col>
      <xdr:colOff>20636</xdr:colOff>
      <xdr:row>6</xdr:row>
      <xdr:rowOff>82038</xdr:rowOff>
    </xdr:to>
    <xdr:sp macro="" textlink="">
      <xdr:nvSpPr>
        <xdr:cNvPr id="2" name="矢印: 右 12">
          <a:extLst>
            <a:ext uri="{FF2B5EF4-FFF2-40B4-BE49-F238E27FC236}">
              <a16:creationId xmlns:a16="http://schemas.microsoft.com/office/drawing/2014/main" id="{C24D7D6A-47ED-46BD-93A1-3FE76E8CE008}"/>
            </a:ext>
          </a:extLst>
        </xdr:cNvPr>
        <xdr:cNvSpPr/>
      </xdr:nvSpPr>
      <xdr:spPr bwMode="auto">
        <a:xfrm>
          <a:off x="4010478" y="2008294"/>
          <a:ext cx="491049" cy="252070"/>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clientData/>
  </xdr:twoCellAnchor>
  <xdr:twoCellAnchor>
    <xdr:from>
      <xdr:col>24</xdr:col>
      <xdr:colOff>116490</xdr:colOff>
      <xdr:row>4</xdr:row>
      <xdr:rowOff>77527</xdr:rowOff>
    </xdr:from>
    <xdr:to>
      <xdr:col>26</xdr:col>
      <xdr:colOff>211409</xdr:colOff>
      <xdr:row>7</xdr:row>
      <xdr:rowOff>82957</xdr:rowOff>
    </xdr:to>
    <xdr:sp macro="" textlink="">
      <xdr:nvSpPr>
        <xdr:cNvPr id="7" name="テキスト ボックス 14">
          <a:extLst>
            <a:ext uri="{FF2B5EF4-FFF2-40B4-BE49-F238E27FC236}">
              <a16:creationId xmlns:a16="http://schemas.microsoft.com/office/drawing/2014/main" id="{FA1224D1-F4D2-4B2E-A1B2-565505E5A801}"/>
            </a:ext>
          </a:extLst>
        </xdr:cNvPr>
        <xdr:cNvSpPr txBox="1"/>
      </xdr:nvSpPr>
      <xdr:spPr>
        <a:xfrm>
          <a:off x="4597381" y="1758897"/>
          <a:ext cx="1130245" cy="750864"/>
        </a:xfrm>
        <a:prstGeom prst="rect">
          <a:avLst/>
        </a:prstGeom>
        <a:solidFill>
          <a:schemeClr val="bg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ja-JP" sz="900" b="1">
              <a:solidFill>
                <a:schemeClr val="dk1"/>
              </a:solidFill>
              <a:effectLst/>
              <a:latin typeface="+mn-lt"/>
              <a:ea typeface="+mn-ea"/>
              <a:cs typeface="+mn-cs"/>
            </a:rPr>
            <a:t> </a:t>
          </a:r>
          <a:r>
            <a:rPr kumimoji="1" lang="ja-JP" altLang="en-US" sz="900" b="1">
              <a:solidFill>
                <a:schemeClr val="dk1"/>
              </a:solidFill>
              <a:effectLst/>
              <a:latin typeface="+mn-lt"/>
              <a:ea typeface="+mn-ea"/>
              <a:cs typeface="+mn-cs"/>
            </a:rPr>
            <a:t>別紙様式</a:t>
          </a:r>
          <a:endParaRPr kumimoji="1" lang="en-US" altLang="ja-JP" sz="900" b="1">
            <a:solidFill>
              <a:schemeClr val="dk1"/>
            </a:solidFill>
            <a:effectLst/>
            <a:latin typeface="+mn-lt"/>
            <a:ea typeface="+mn-ea"/>
            <a:cs typeface="+mn-cs"/>
          </a:endParaRPr>
        </a:p>
        <a:p>
          <a:r>
            <a:rPr kumimoji="1" lang="ja-JP" altLang="en-US" sz="900" b="1">
              <a:solidFill>
                <a:schemeClr val="dk1"/>
              </a:solidFill>
              <a:effectLst/>
              <a:latin typeface="+mn-lt"/>
              <a:ea typeface="+mn-ea"/>
              <a:cs typeface="+mn-cs"/>
            </a:rPr>
            <a:t> ２－３</a:t>
          </a:r>
        </a:p>
        <a:p>
          <a:r>
            <a:rPr kumimoji="1" lang="ja-JP" altLang="en-US" sz="900" b="1">
              <a:solidFill>
                <a:schemeClr val="dk1"/>
              </a:solidFill>
              <a:effectLst/>
              <a:latin typeface="+mn-lt"/>
              <a:ea typeface="+mn-ea"/>
              <a:cs typeface="+mn-cs"/>
            </a:rPr>
            <a:t>（個票（６月以降））</a:t>
          </a:r>
        </a:p>
      </xdr:txBody>
    </xdr:sp>
    <xdr:clientData/>
  </xdr:twoCellAnchor>
  <xdr:twoCellAnchor>
    <xdr:from>
      <xdr:col>26</xdr:col>
      <xdr:colOff>307263</xdr:colOff>
      <xdr:row>5</xdr:row>
      <xdr:rowOff>82256</xdr:rowOff>
    </xdr:from>
    <xdr:to>
      <xdr:col>27</xdr:col>
      <xdr:colOff>59254</xdr:colOff>
      <xdr:row>6</xdr:row>
      <xdr:rowOff>78228</xdr:rowOff>
    </xdr:to>
    <xdr:sp macro="" textlink="">
      <xdr:nvSpPr>
        <xdr:cNvPr id="10" name="矢印: 右 12">
          <a:extLst>
            <a:ext uri="{FF2B5EF4-FFF2-40B4-BE49-F238E27FC236}">
              <a16:creationId xmlns:a16="http://schemas.microsoft.com/office/drawing/2014/main" id="{F6BD55AC-D391-4ADC-89DF-A30DAF3EB083}"/>
            </a:ext>
          </a:extLst>
        </xdr:cNvPr>
        <xdr:cNvSpPr/>
      </xdr:nvSpPr>
      <xdr:spPr bwMode="auto">
        <a:xfrm>
          <a:off x="5823480" y="2012104"/>
          <a:ext cx="489144" cy="244450"/>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clientData/>
  </xdr:twoCellAnchor>
  <xdr:twoCellAnchor>
    <xdr:from>
      <xdr:col>27</xdr:col>
      <xdr:colOff>155108</xdr:colOff>
      <xdr:row>4</xdr:row>
      <xdr:rowOff>78480</xdr:rowOff>
    </xdr:from>
    <xdr:to>
      <xdr:col>28</xdr:col>
      <xdr:colOff>160161</xdr:colOff>
      <xdr:row>7</xdr:row>
      <xdr:rowOff>82005</xdr:rowOff>
    </xdr:to>
    <xdr:sp macro="" textlink="">
      <xdr:nvSpPr>
        <xdr:cNvPr id="11" name="テキスト ボックス 14">
          <a:extLst>
            <a:ext uri="{FF2B5EF4-FFF2-40B4-BE49-F238E27FC236}">
              <a16:creationId xmlns:a16="http://schemas.microsoft.com/office/drawing/2014/main" id="{047BC7C6-C322-43F3-8E36-CCAB677BF9A3}"/>
            </a:ext>
          </a:extLst>
        </xdr:cNvPr>
        <xdr:cNvSpPr txBox="1"/>
      </xdr:nvSpPr>
      <xdr:spPr>
        <a:xfrm>
          <a:off x="6408478" y="1759850"/>
          <a:ext cx="750487" cy="748959"/>
        </a:xfrm>
        <a:prstGeom prst="rect">
          <a:avLst/>
        </a:prstGeom>
        <a:solidFill>
          <a:schemeClr val="bg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ja-JP" sz="900" b="1">
              <a:solidFill>
                <a:schemeClr val="dk1"/>
              </a:solidFill>
              <a:effectLst/>
              <a:latin typeface="+mn-lt"/>
              <a:ea typeface="+mn-ea"/>
              <a:cs typeface="+mn-cs"/>
            </a:rPr>
            <a:t> </a:t>
          </a:r>
          <a:r>
            <a:rPr kumimoji="1" lang="ja-JP" altLang="en-US" sz="900" b="1">
              <a:solidFill>
                <a:schemeClr val="dk1"/>
              </a:solidFill>
              <a:effectLst/>
              <a:latin typeface="+mn-lt"/>
              <a:ea typeface="+mn-ea"/>
              <a:cs typeface="+mn-cs"/>
            </a:rPr>
            <a:t>別紙様式</a:t>
          </a:r>
          <a:endParaRPr kumimoji="1" lang="en-US" altLang="ja-JP" sz="900" b="1">
            <a:solidFill>
              <a:schemeClr val="dk1"/>
            </a:solidFill>
            <a:effectLst/>
            <a:latin typeface="+mn-lt"/>
            <a:ea typeface="+mn-ea"/>
            <a:cs typeface="+mn-cs"/>
          </a:endParaRPr>
        </a:p>
        <a:p>
          <a:r>
            <a:rPr kumimoji="1" lang="ja-JP" altLang="en-US" sz="900" b="1">
              <a:solidFill>
                <a:schemeClr val="dk1"/>
              </a:solidFill>
              <a:effectLst/>
              <a:latin typeface="+mn-lt"/>
              <a:ea typeface="+mn-ea"/>
              <a:cs typeface="+mn-cs"/>
            </a:rPr>
            <a:t> ２－１</a:t>
          </a:r>
        </a:p>
        <a:p>
          <a:r>
            <a:rPr kumimoji="1" lang="ja-JP" altLang="en-US" sz="900" b="1">
              <a:solidFill>
                <a:schemeClr val="dk1"/>
              </a:solidFill>
              <a:effectLst/>
              <a:latin typeface="+mn-lt"/>
              <a:ea typeface="+mn-ea"/>
              <a:cs typeface="+mn-cs"/>
            </a:rPr>
            <a:t>（総括表）</a:t>
          </a:r>
        </a:p>
      </xdr:txBody>
    </xdr:sp>
    <xdr:clientData/>
  </xdr:twoCellAnchor>
  <xdr:twoCellAnchor>
    <xdr:from>
      <xdr:col>29</xdr:col>
      <xdr:colOff>55990</xdr:colOff>
      <xdr:row>5</xdr:row>
      <xdr:rowOff>80351</xdr:rowOff>
    </xdr:from>
    <xdr:to>
      <xdr:col>29</xdr:col>
      <xdr:colOff>550849</xdr:colOff>
      <xdr:row>6</xdr:row>
      <xdr:rowOff>80133</xdr:rowOff>
    </xdr:to>
    <xdr:sp macro="" textlink="">
      <xdr:nvSpPr>
        <xdr:cNvPr id="12" name="矢印: 右 12">
          <a:extLst>
            <a:ext uri="{FF2B5EF4-FFF2-40B4-BE49-F238E27FC236}">
              <a16:creationId xmlns:a16="http://schemas.microsoft.com/office/drawing/2014/main" id="{38568889-DE19-4733-8F35-09B1B6515745}"/>
            </a:ext>
          </a:extLst>
        </xdr:cNvPr>
        <xdr:cNvSpPr/>
      </xdr:nvSpPr>
      <xdr:spPr bwMode="auto">
        <a:xfrm>
          <a:off x="7245294" y="2010199"/>
          <a:ext cx="494859" cy="248260"/>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5</xdr:col>
          <xdr:colOff>38100</xdr:colOff>
          <xdr:row>101</xdr:row>
          <xdr:rowOff>0</xdr:rowOff>
        </xdr:from>
        <xdr:to>
          <xdr:col>6</xdr:col>
          <xdr:colOff>15240</xdr:colOff>
          <xdr:row>101</xdr:row>
          <xdr:rowOff>20955</xdr:rowOff>
        </xdr:to>
        <xdr:grpSp>
          <xdr:nvGrpSpPr>
            <xdr:cNvPr id="2" name="Group 41">
              <a:extLst>
                <a:ext uri="{FF2B5EF4-FFF2-40B4-BE49-F238E27FC236}">
                  <a16:creationId xmlns:a16="http://schemas.microsoft.com/office/drawing/2014/main" id="{A30D28BE-5D9F-4ADF-BA1C-1F1CA3087EBA}"/>
                </a:ext>
              </a:extLst>
            </xdr:cNvPr>
            <xdr:cNvGrpSpPr>
              <a:grpSpLocks/>
            </xdr:cNvGrpSpPr>
          </xdr:nvGrpSpPr>
          <xdr:grpSpPr bwMode="auto">
            <a:xfrm>
              <a:off x="1033895" y="27354068"/>
              <a:ext cx="158981" cy="2095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52</xdr:row>
          <xdr:rowOff>0</xdr:rowOff>
        </xdr:from>
        <xdr:to>
          <xdr:col>6</xdr:col>
          <xdr:colOff>15240</xdr:colOff>
          <xdr:row>53</xdr:row>
          <xdr:rowOff>0</xdr:rowOff>
        </xdr:to>
        <xdr:grpSp>
          <xdr:nvGrpSpPr>
            <xdr:cNvPr id="3" name="Group 41">
              <a:extLst>
                <a:ext uri="{FF2B5EF4-FFF2-40B4-BE49-F238E27FC236}">
                  <a16:creationId xmlns:a16="http://schemas.microsoft.com/office/drawing/2014/main" id="{8554E7EB-2DB5-4A1B-9649-9CB7A5647BE6}"/>
                </a:ext>
              </a:extLst>
            </xdr:cNvPr>
            <xdr:cNvGrpSpPr>
              <a:grpSpLocks/>
            </xdr:cNvGrpSpPr>
          </xdr:nvGrpSpPr>
          <xdr:grpSpPr bwMode="auto">
            <a:xfrm>
              <a:off x="1033895" y="12105409"/>
              <a:ext cx="158981" cy="294409"/>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26</xdr:row>
          <xdr:rowOff>0</xdr:rowOff>
        </xdr:from>
        <xdr:to>
          <xdr:col>6</xdr:col>
          <xdr:colOff>15240</xdr:colOff>
          <xdr:row>45</xdr:row>
          <xdr:rowOff>0</xdr:rowOff>
        </xdr:to>
        <xdr:grpSp>
          <xdr:nvGrpSpPr>
            <xdr:cNvPr id="4" name="Group 41">
              <a:extLst>
                <a:ext uri="{FF2B5EF4-FFF2-40B4-BE49-F238E27FC236}">
                  <a16:creationId xmlns:a16="http://schemas.microsoft.com/office/drawing/2014/main" id="{0E874702-33E7-4A5B-8F19-846DA2162479}"/>
                </a:ext>
              </a:extLst>
            </xdr:cNvPr>
            <xdr:cNvGrpSpPr>
              <a:grpSpLocks/>
            </xdr:cNvGrpSpPr>
          </xdr:nvGrpSpPr>
          <xdr:grpSpPr bwMode="auto">
            <a:xfrm>
              <a:off x="1033895" y="6563591"/>
              <a:ext cx="158981" cy="4199659"/>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97</xdr:row>
          <xdr:rowOff>1287</xdr:rowOff>
        </xdr:from>
        <xdr:to>
          <xdr:col>6</xdr:col>
          <xdr:colOff>15240</xdr:colOff>
          <xdr:row>101</xdr:row>
          <xdr:rowOff>0</xdr:rowOff>
        </xdr:to>
        <xdr:grpSp>
          <xdr:nvGrpSpPr>
            <xdr:cNvPr id="5" name="Group 41">
              <a:extLst>
                <a:ext uri="{FF2B5EF4-FFF2-40B4-BE49-F238E27FC236}">
                  <a16:creationId xmlns:a16="http://schemas.microsoft.com/office/drawing/2014/main" id="{ED70A209-EBA1-426A-B6B8-97405281CC21}"/>
                </a:ext>
              </a:extLst>
            </xdr:cNvPr>
            <xdr:cNvGrpSpPr>
              <a:grpSpLocks/>
            </xdr:cNvGrpSpPr>
          </xdr:nvGrpSpPr>
          <xdr:grpSpPr bwMode="auto">
            <a:xfrm>
              <a:off x="1033895" y="26246992"/>
              <a:ext cx="158981" cy="1107076"/>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51</xdr:row>
          <xdr:rowOff>0</xdr:rowOff>
        </xdr:from>
        <xdr:to>
          <xdr:col>6</xdr:col>
          <xdr:colOff>15240</xdr:colOff>
          <xdr:row>51</xdr:row>
          <xdr:rowOff>74734</xdr:rowOff>
        </xdr:to>
        <xdr:grpSp>
          <xdr:nvGrpSpPr>
            <xdr:cNvPr id="6" name="Group 41">
              <a:extLst>
                <a:ext uri="{FF2B5EF4-FFF2-40B4-BE49-F238E27FC236}">
                  <a16:creationId xmlns:a16="http://schemas.microsoft.com/office/drawing/2014/main" id="{BC1091C4-7D9A-407A-9A38-A36D82D10374}"/>
                </a:ext>
              </a:extLst>
            </xdr:cNvPr>
            <xdr:cNvGrpSpPr>
              <a:grpSpLocks/>
            </xdr:cNvGrpSpPr>
          </xdr:nvGrpSpPr>
          <xdr:grpSpPr bwMode="auto">
            <a:xfrm>
              <a:off x="1033895" y="12027477"/>
              <a:ext cx="158981" cy="74734"/>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101</xdr:row>
          <xdr:rowOff>0</xdr:rowOff>
        </xdr:from>
        <xdr:to>
          <xdr:col>6</xdr:col>
          <xdr:colOff>15240</xdr:colOff>
          <xdr:row>112</xdr:row>
          <xdr:rowOff>2484</xdr:rowOff>
        </xdr:to>
        <xdr:grpSp>
          <xdr:nvGrpSpPr>
            <xdr:cNvPr id="7" name="Group 41">
              <a:extLst>
                <a:ext uri="{FF2B5EF4-FFF2-40B4-BE49-F238E27FC236}">
                  <a16:creationId xmlns:a16="http://schemas.microsoft.com/office/drawing/2014/main" id="{FB816DF8-762C-4DAF-A049-0275C1F13DEB}"/>
                </a:ext>
              </a:extLst>
            </xdr:cNvPr>
            <xdr:cNvGrpSpPr>
              <a:grpSpLocks/>
            </xdr:cNvGrpSpPr>
          </xdr:nvGrpSpPr>
          <xdr:grpSpPr bwMode="auto">
            <a:xfrm>
              <a:off x="1033895" y="27354068"/>
              <a:ext cx="158981" cy="5267211"/>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1</xdr:col>
          <xdr:colOff>38100</xdr:colOff>
          <xdr:row>121</xdr:row>
          <xdr:rowOff>0</xdr:rowOff>
        </xdr:from>
        <xdr:to>
          <xdr:col>2</xdr:col>
          <xdr:colOff>15240</xdr:colOff>
          <xdr:row>123</xdr:row>
          <xdr:rowOff>2899</xdr:rowOff>
        </xdr:to>
        <xdr:grpSp>
          <xdr:nvGrpSpPr>
            <xdr:cNvPr id="8" name="Group 41">
              <a:extLst>
                <a:ext uri="{FF2B5EF4-FFF2-40B4-BE49-F238E27FC236}">
                  <a16:creationId xmlns:a16="http://schemas.microsoft.com/office/drawing/2014/main" id="{5E0CD198-EF59-4C60-89A8-DB11FB41CCCC}"/>
                </a:ext>
              </a:extLst>
            </xdr:cNvPr>
            <xdr:cNvGrpSpPr>
              <a:grpSpLocks/>
            </xdr:cNvGrpSpPr>
          </xdr:nvGrpSpPr>
          <xdr:grpSpPr bwMode="auto">
            <a:xfrm>
              <a:off x="202623" y="36030477"/>
              <a:ext cx="219594" cy="383899"/>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1</xdr:col>
          <xdr:colOff>38100</xdr:colOff>
          <xdr:row>121</xdr:row>
          <xdr:rowOff>0</xdr:rowOff>
        </xdr:from>
        <xdr:to>
          <xdr:col>2</xdr:col>
          <xdr:colOff>15240</xdr:colOff>
          <xdr:row>123</xdr:row>
          <xdr:rowOff>2899</xdr:rowOff>
        </xdr:to>
        <xdr:grpSp>
          <xdr:nvGrpSpPr>
            <xdr:cNvPr id="9" name="Group 41">
              <a:extLst>
                <a:ext uri="{FF2B5EF4-FFF2-40B4-BE49-F238E27FC236}">
                  <a16:creationId xmlns:a16="http://schemas.microsoft.com/office/drawing/2014/main" id="{412F5CBD-1F47-49A9-80D1-497DF42A0FBE}"/>
                </a:ext>
              </a:extLst>
            </xdr:cNvPr>
            <xdr:cNvGrpSpPr>
              <a:grpSpLocks/>
            </xdr:cNvGrpSpPr>
          </xdr:nvGrpSpPr>
          <xdr:grpSpPr bwMode="auto">
            <a:xfrm>
              <a:off x="202623" y="36030477"/>
              <a:ext cx="219594" cy="383899"/>
              <a:chOff x="9239" y="107537"/>
              <a:chExt cx="2190" cy="12573"/>
            </a:xfrm>
          </xdr:grpSpPr>
        </xdr:grpSp>
        <xdr:clientData/>
      </xdr:twoCellAnchor>
    </mc:Choice>
    <mc:Fallback/>
  </mc:AlternateContent>
  <xdr:twoCellAnchor>
    <xdr:from>
      <xdr:col>15</xdr:col>
      <xdr:colOff>552821</xdr:colOff>
      <xdr:row>15</xdr:row>
      <xdr:rowOff>92177</xdr:rowOff>
    </xdr:from>
    <xdr:to>
      <xdr:col>19</xdr:col>
      <xdr:colOff>145679</xdr:colOff>
      <xdr:row>15</xdr:row>
      <xdr:rowOff>276532</xdr:rowOff>
    </xdr:to>
    <xdr:sp macro="" textlink="">
      <xdr:nvSpPr>
        <xdr:cNvPr id="10" name="テキスト ボックス 9">
          <a:extLst>
            <a:ext uri="{FF2B5EF4-FFF2-40B4-BE49-F238E27FC236}">
              <a16:creationId xmlns:a16="http://schemas.microsoft.com/office/drawing/2014/main" id="{21B18B17-AD62-410D-977C-144A31566949}"/>
            </a:ext>
          </a:extLst>
        </xdr:cNvPr>
        <xdr:cNvSpPr txBox="1"/>
      </xdr:nvSpPr>
      <xdr:spPr>
        <a:xfrm>
          <a:off x="3276971" y="3225902"/>
          <a:ext cx="831108"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(a)</a:t>
          </a:r>
          <a:endParaRPr kumimoji="1" lang="ja-JP" altLang="en-US" sz="900">
            <a:latin typeface="+mn-ea"/>
            <a:ea typeface="+mn-ea"/>
          </a:endParaRPr>
        </a:p>
      </xdr:txBody>
    </xdr:sp>
    <xdr:clientData/>
  </xdr:twoCellAnchor>
  <xdr:twoCellAnchor>
    <xdr:from>
      <xdr:col>15</xdr:col>
      <xdr:colOff>549011</xdr:colOff>
      <xdr:row>17</xdr:row>
      <xdr:rowOff>151339</xdr:rowOff>
    </xdr:from>
    <xdr:to>
      <xdr:col>17</xdr:col>
      <xdr:colOff>164856</xdr:colOff>
      <xdr:row>17</xdr:row>
      <xdr:rowOff>311394</xdr:rowOff>
    </xdr:to>
    <xdr:sp macro="" textlink="">
      <xdr:nvSpPr>
        <xdr:cNvPr id="11" name="テキスト ボックス 10">
          <a:extLst>
            <a:ext uri="{FF2B5EF4-FFF2-40B4-BE49-F238E27FC236}">
              <a16:creationId xmlns:a16="http://schemas.microsoft.com/office/drawing/2014/main" id="{4BF6FB20-610E-4B30-AF33-BE1606F371F0}"/>
            </a:ext>
          </a:extLst>
        </xdr:cNvPr>
        <xdr:cNvSpPr txBox="1"/>
      </xdr:nvSpPr>
      <xdr:spPr>
        <a:xfrm>
          <a:off x="3273161" y="3951814"/>
          <a:ext cx="415945" cy="1600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(c)</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editAs="oneCell">
        <xdr:from>
          <xdr:col>0</xdr:col>
          <xdr:colOff>133350</xdr:colOff>
          <xdr:row>115</xdr:row>
          <xdr:rowOff>133350</xdr:rowOff>
        </xdr:from>
        <xdr:to>
          <xdr:col>1</xdr:col>
          <xdr:colOff>190500</xdr:colOff>
          <xdr:row>115</xdr:row>
          <xdr:rowOff>457200</xdr:rowOff>
        </xdr:to>
        <xdr:sp macro="" textlink="">
          <xdr:nvSpPr>
            <xdr:cNvPr id="133121" name="Check Box 1" hidden="1">
              <a:extLst>
                <a:ext uri="{63B3BB69-23CF-44E3-9099-C40C66FF867C}">
                  <a14:compatExt spid="_x0000_s133121"/>
                </a:ext>
                <a:ext uri="{FF2B5EF4-FFF2-40B4-BE49-F238E27FC236}">
                  <a16:creationId xmlns:a16="http://schemas.microsoft.com/office/drawing/2014/main" id="{00000000-0008-0000-0100-00000108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116</xdr:row>
          <xdr:rowOff>19050</xdr:rowOff>
        </xdr:from>
        <xdr:to>
          <xdr:col>2</xdr:col>
          <xdr:colOff>9525</xdr:colOff>
          <xdr:row>117</xdr:row>
          <xdr:rowOff>19050</xdr:rowOff>
        </xdr:to>
        <xdr:sp macro="" textlink="">
          <xdr:nvSpPr>
            <xdr:cNvPr id="133122" name="Check Box 2" hidden="1">
              <a:extLst>
                <a:ext uri="{63B3BB69-23CF-44E3-9099-C40C66FF867C}">
                  <a14:compatExt spid="_x0000_s133122"/>
                </a:ext>
                <a:ext uri="{FF2B5EF4-FFF2-40B4-BE49-F238E27FC236}">
                  <a16:creationId xmlns:a16="http://schemas.microsoft.com/office/drawing/2014/main" id="{00000000-0008-0000-0100-00000208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117</xdr:row>
          <xdr:rowOff>19050</xdr:rowOff>
        </xdr:from>
        <xdr:to>
          <xdr:col>2</xdr:col>
          <xdr:colOff>9525</xdr:colOff>
          <xdr:row>118</xdr:row>
          <xdr:rowOff>0</xdr:rowOff>
        </xdr:to>
        <xdr:sp macro="" textlink="">
          <xdr:nvSpPr>
            <xdr:cNvPr id="133123" name="Check Box 3" hidden="1">
              <a:extLst>
                <a:ext uri="{63B3BB69-23CF-44E3-9099-C40C66FF867C}">
                  <a14:compatExt spid="_x0000_s133123"/>
                </a:ext>
                <a:ext uri="{FF2B5EF4-FFF2-40B4-BE49-F238E27FC236}">
                  <a16:creationId xmlns:a16="http://schemas.microsoft.com/office/drawing/2014/main" id="{00000000-0008-0000-0100-00000308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118</xdr:row>
          <xdr:rowOff>19050</xdr:rowOff>
        </xdr:from>
        <xdr:to>
          <xdr:col>2</xdr:col>
          <xdr:colOff>9525</xdr:colOff>
          <xdr:row>119</xdr:row>
          <xdr:rowOff>19050</xdr:rowOff>
        </xdr:to>
        <xdr:sp macro="" textlink="">
          <xdr:nvSpPr>
            <xdr:cNvPr id="133124" name="Check Box 4" hidden="1">
              <a:extLst>
                <a:ext uri="{63B3BB69-23CF-44E3-9099-C40C66FF867C}">
                  <a14:compatExt spid="_x0000_s133124"/>
                </a:ext>
                <a:ext uri="{FF2B5EF4-FFF2-40B4-BE49-F238E27FC236}">
                  <a16:creationId xmlns:a16="http://schemas.microsoft.com/office/drawing/2014/main" id="{00000000-0008-0000-0100-00000408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119</xdr:row>
          <xdr:rowOff>19050</xdr:rowOff>
        </xdr:from>
        <xdr:to>
          <xdr:col>2</xdr:col>
          <xdr:colOff>0</xdr:colOff>
          <xdr:row>120</xdr:row>
          <xdr:rowOff>0</xdr:rowOff>
        </xdr:to>
        <xdr:sp macro="" textlink="">
          <xdr:nvSpPr>
            <xdr:cNvPr id="133125" name="Check Box 5" hidden="1">
              <a:extLst>
                <a:ext uri="{63B3BB69-23CF-44E3-9099-C40C66FF867C}">
                  <a14:compatExt spid="_x0000_s133125"/>
                </a:ext>
                <a:ext uri="{FF2B5EF4-FFF2-40B4-BE49-F238E27FC236}">
                  <a16:creationId xmlns:a16="http://schemas.microsoft.com/office/drawing/2014/main" id="{00000000-0008-0000-0100-00000508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121</xdr:row>
          <xdr:rowOff>19050</xdr:rowOff>
        </xdr:from>
        <xdr:to>
          <xdr:col>2</xdr:col>
          <xdr:colOff>0</xdr:colOff>
          <xdr:row>122</xdr:row>
          <xdr:rowOff>19050</xdr:rowOff>
        </xdr:to>
        <xdr:sp macro="" textlink="">
          <xdr:nvSpPr>
            <xdr:cNvPr id="133126" name="Check Box 6" hidden="1">
              <a:extLst>
                <a:ext uri="{63B3BB69-23CF-44E3-9099-C40C66FF867C}">
                  <a14:compatExt spid="_x0000_s133126"/>
                </a:ext>
                <a:ext uri="{FF2B5EF4-FFF2-40B4-BE49-F238E27FC236}">
                  <a16:creationId xmlns:a16="http://schemas.microsoft.com/office/drawing/2014/main" id="{00000000-0008-0000-0100-00000608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twoCellAnchor>
    <xdr:from>
      <xdr:col>38</xdr:col>
      <xdr:colOff>115278</xdr:colOff>
      <xdr:row>0</xdr:row>
      <xdr:rowOff>23884</xdr:rowOff>
    </xdr:from>
    <xdr:to>
      <xdr:col>51</xdr:col>
      <xdr:colOff>239151</xdr:colOff>
      <xdr:row>14</xdr:row>
      <xdr:rowOff>36634</xdr:rowOff>
    </xdr:to>
    <xdr:sp macro="" textlink="">
      <xdr:nvSpPr>
        <xdr:cNvPr id="12" name="正方形/長方形 32">
          <a:extLst>
            <a:ext uri="{FF2B5EF4-FFF2-40B4-BE49-F238E27FC236}">
              <a16:creationId xmlns:a16="http://schemas.microsoft.com/office/drawing/2014/main" id="{7277E598-C94F-455D-9DC0-074CAA32D67F}"/>
            </a:ext>
          </a:extLst>
        </xdr:cNvPr>
        <xdr:cNvSpPr/>
      </xdr:nvSpPr>
      <xdr:spPr bwMode="auto">
        <a:xfrm>
          <a:off x="8297253" y="23884"/>
          <a:ext cx="7019973" cy="2908350"/>
        </a:xfrm>
        <a:prstGeom prst="rect">
          <a:avLst/>
        </a:prstGeom>
        <a:solidFill>
          <a:schemeClr val="bg1"/>
        </a:solidFill>
        <a:ln w="5715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100" b="1"/>
            <a:t>   【</a:t>
          </a:r>
          <a:r>
            <a:rPr kumimoji="1" lang="ja-JP" altLang="en-US" sz="1100" b="1"/>
            <a:t>記入上の注意</a:t>
          </a:r>
          <a:r>
            <a:rPr kumimoji="1" lang="en-US" altLang="ja-JP" sz="1100" b="1"/>
            <a:t>】</a:t>
          </a:r>
        </a:p>
        <a:p>
          <a:pPr algn="l"/>
          <a:endParaRPr kumimoji="1" lang="en-US" altLang="ja-JP" sz="1100" b="1"/>
        </a:p>
        <a:p>
          <a:pPr algn="l"/>
          <a:r>
            <a:rPr kumimoji="1" lang="ja-JP" altLang="en-US" sz="1100" b="1"/>
            <a:t>　・ 必須の記入箇所は</a:t>
          </a:r>
          <a:r>
            <a:rPr kumimoji="1" lang="ja-JP" altLang="en-US" sz="1100" b="1" u="none"/>
            <a:t>　　　　　　　　のセルです。</a:t>
          </a:r>
          <a:endParaRPr kumimoji="1" lang="en-US" altLang="ja-JP" sz="1100" b="1" u="none"/>
        </a:p>
        <a:p>
          <a:pPr algn="l"/>
          <a:r>
            <a:rPr kumimoji="1" lang="ja-JP" altLang="en-US" sz="1100" b="1" u="none"/>
            <a:t>　</a:t>
          </a:r>
          <a:r>
            <a:rPr kumimoji="1" lang="ja-JP" altLang="en-US" sz="1100" b="1" u="none" baseline="0"/>
            <a:t>   </a:t>
          </a:r>
          <a:r>
            <a:rPr kumimoji="1" lang="ja-JP" altLang="en-US" sz="1100" b="1" u="none"/>
            <a:t>空欄が残っているとエラーになります。</a:t>
          </a:r>
          <a:endParaRPr kumimoji="1" lang="en-US" altLang="ja-JP" sz="1100" b="1" u="none"/>
        </a:p>
        <a:p>
          <a:pPr algn="l"/>
          <a:r>
            <a:rPr kumimoji="1" lang="ja-JP" altLang="en-US" sz="1100" b="1" u="none"/>
            <a:t>   </a:t>
          </a:r>
          <a:endParaRPr kumimoji="1" lang="en-US" altLang="ja-JP" sz="1100" b="1" u="none"/>
        </a:p>
        <a:p>
          <a:pPr algn="l"/>
          <a:r>
            <a:rPr kumimoji="1" lang="ja-JP" altLang="en-US" sz="1100" b="1" u="none"/>
            <a:t>　・ 先に「基本情報入力シート」及び「別紙様式２－２</a:t>
          </a:r>
          <a:r>
            <a:rPr kumimoji="1" lang="ja-JP" altLang="en-US" sz="1100" b="1" u="none">
              <a:solidFill>
                <a:sysClr val="windowText" lastClr="000000"/>
              </a:solidFill>
            </a:rPr>
            <a:t>」「別紙様式２－３」を完成させて</a:t>
          </a:r>
          <a:r>
            <a:rPr kumimoji="1" lang="ja-JP" altLang="en-US" sz="1100" b="1" u="none"/>
            <a:t>ください。</a:t>
          </a:r>
          <a:endParaRPr kumimoji="1" lang="en-US" altLang="ja-JP" sz="1100" b="1" u="none"/>
        </a:p>
        <a:p>
          <a:pPr algn="l"/>
          <a:r>
            <a:rPr kumimoji="1" lang="ja-JP" altLang="en-US" sz="1100" b="1" u="none"/>
            <a:t>　　これらのシートでの</a:t>
          </a:r>
          <a:r>
            <a:rPr kumimoji="1" lang="ja-JP" altLang="en-US" sz="1100" b="1" u="none" baseline="0"/>
            <a:t>記入内容に応じて、入力が不要な欄が非表示になります。</a:t>
          </a:r>
          <a:endParaRPr kumimoji="1" lang="en-US" altLang="ja-JP" sz="1100" b="1" u="none"/>
        </a:p>
        <a:p>
          <a:pPr algn="l"/>
          <a:endParaRPr kumimoji="1" lang="en-US" altLang="ja-JP" sz="1100" b="1" u="none"/>
        </a:p>
        <a:p>
          <a:pPr algn="l"/>
          <a:r>
            <a:rPr kumimoji="1" lang="ja-JP" altLang="en-US" sz="1100" b="1" u="none"/>
            <a:t>　</a:t>
          </a:r>
          <a:r>
            <a:rPr kumimoji="1" lang="ja-JP" altLang="en-US" sz="1100" b="1" u="none">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濃いオレンジ色のセルに「</a:t>
          </a:r>
          <a:r>
            <a:rPr kumimoji="1" lang="en-US" altLang="ja-JP"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」が表示された場合、記入内容が要件を満たして</a:t>
          </a:r>
          <a:r>
            <a:rPr kumimoji="1" lang="ja-JP" altLang="en-US" sz="1100" b="1">
              <a:solidFill>
                <a:schemeClr val="dk1"/>
              </a:solidFill>
              <a:effectLst/>
              <a:latin typeface="+mn-lt"/>
              <a:ea typeface="+mn-ea"/>
              <a:cs typeface="+mn-cs"/>
            </a:rPr>
            <a:t>いないか、</a:t>
          </a:r>
          <a:endParaRPr kumimoji="1" lang="en-US" altLang="ja-JP" sz="1100" b="1">
            <a:solidFill>
              <a:schemeClr val="dk1"/>
            </a:solidFill>
            <a:effectLst/>
            <a:latin typeface="+mn-lt"/>
            <a:ea typeface="+mn-ea"/>
            <a:cs typeface="+mn-cs"/>
          </a:endParaRPr>
        </a:p>
        <a:p>
          <a:pPr algn="l"/>
          <a:r>
            <a:rPr kumimoji="1" lang="ja-JP" altLang="en-US" sz="1100" b="1">
              <a:solidFill>
                <a:schemeClr val="dk1"/>
              </a:solidFill>
              <a:effectLst/>
              <a:latin typeface="+mn-lt"/>
              <a:ea typeface="+mn-ea"/>
              <a:cs typeface="+mn-cs"/>
            </a:rPr>
            <a:t>　　未入力の欄がありますので</a:t>
          </a:r>
          <a:r>
            <a:rPr kumimoji="1" lang="ja-JP" altLang="ja-JP" sz="1100" b="1">
              <a:solidFill>
                <a:schemeClr val="dk1"/>
              </a:solidFill>
              <a:effectLst/>
              <a:latin typeface="+mn-lt"/>
              <a:ea typeface="+mn-ea"/>
              <a:cs typeface="+mn-cs"/>
            </a:rPr>
            <a:t>修正</a:t>
          </a:r>
          <a:r>
            <a:rPr kumimoji="1" lang="ja-JP" altLang="en-US" sz="1100" b="1">
              <a:solidFill>
                <a:schemeClr val="dk1"/>
              </a:solidFill>
              <a:effectLst/>
              <a:latin typeface="+mn-lt"/>
              <a:ea typeface="+mn-ea"/>
              <a:cs typeface="+mn-cs"/>
            </a:rPr>
            <a:t>してください。</a:t>
          </a:r>
          <a:endParaRPr kumimoji="1" lang="en-US" altLang="ja-JP" sz="1100" b="1">
            <a:solidFill>
              <a:schemeClr val="dk1"/>
            </a:solidFill>
            <a:effectLst/>
            <a:latin typeface="+mn-lt"/>
            <a:ea typeface="+mn-ea"/>
            <a:cs typeface="+mn-cs"/>
          </a:endParaRPr>
        </a:p>
        <a:p>
          <a:pPr algn="l"/>
          <a:r>
            <a:rPr kumimoji="1" lang="ja-JP" altLang="en-US" sz="1100" b="1">
              <a:solidFill>
                <a:schemeClr val="dk1"/>
              </a:solidFill>
              <a:effectLst/>
              <a:latin typeface="+mn-lt"/>
              <a:ea typeface="+mn-ea"/>
              <a:cs typeface="+mn-cs"/>
            </a:rPr>
            <a:t>　　グレー色のセルの「</a:t>
          </a:r>
          <a:r>
            <a:rPr kumimoji="1" lang="en-US" altLang="ja-JP" sz="1100" b="1">
              <a:solidFill>
                <a:schemeClr val="dk1"/>
              </a:solidFill>
              <a:effectLst/>
              <a:latin typeface="+mn-lt"/>
              <a:ea typeface="+mn-ea"/>
              <a:cs typeface="+mn-cs"/>
            </a:rPr>
            <a:t>×</a:t>
          </a:r>
          <a:r>
            <a:rPr kumimoji="1" lang="ja-JP" altLang="en-US" sz="1100" b="1">
              <a:solidFill>
                <a:schemeClr val="dk1"/>
              </a:solidFill>
              <a:effectLst/>
              <a:latin typeface="+mn-lt"/>
              <a:ea typeface="+mn-ea"/>
              <a:cs typeface="+mn-cs"/>
            </a:rPr>
            <a:t>」および空欄は、要件には影響しません。</a:t>
          </a:r>
          <a:endParaRPr kumimoji="1" lang="en-US" altLang="ja-JP" sz="1100" b="1" u="none">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u="none">
              <a:solidFill>
                <a:schemeClr val="dk1"/>
              </a:solidFill>
              <a:effectLst/>
              <a:latin typeface="+mn-lt"/>
              <a:ea typeface="+mn-ea"/>
              <a:cs typeface="+mn-cs"/>
            </a:rPr>
            <a:t>　</a:t>
          </a:r>
          <a:endParaRPr kumimoji="1" lang="en-US" altLang="ja-JP" sz="1100" b="1" u="none">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u="none">
              <a:solidFill>
                <a:schemeClr val="dk1"/>
              </a:solidFill>
              <a:effectLst/>
              <a:latin typeface="+mn-lt"/>
              <a:ea typeface="+mn-ea"/>
              <a:cs typeface="+mn-cs"/>
            </a:rPr>
            <a:t>   ・</a:t>
          </a:r>
          <a:r>
            <a:rPr kumimoji="1" lang="ja-JP" altLang="en-US" sz="1100" b="1" u="none" baseline="0">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本処遇改善計画書に記載された金額は見込額であり、提出後の運営状況</a:t>
          </a:r>
          <a:r>
            <a:rPr kumimoji="1" lang="ja-JP" altLang="en-US"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利用者数等</a:t>
          </a:r>
          <a:r>
            <a:rPr kumimoji="1" lang="ja-JP" altLang="en-US"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a:t>
          </a:r>
          <a:endParaRPr kumimoji="1" lang="en-US" altLang="ja-JP" sz="1100" b="1">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人員配置状況</a:t>
          </a:r>
          <a:r>
            <a:rPr kumimoji="1" lang="ja-JP" altLang="en-US"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職員数等</a:t>
          </a:r>
          <a:r>
            <a:rPr kumimoji="1" lang="ja-JP" altLang="en-US"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その他の事由により変動があっても差し支え</a:t>
          </a:r>
          <a:r>
            <a:rPr kumimoji="1" lang="ja-JP" altLang="en-US" sz="1100" b="1">
              <a:solidFill>
                <a:schemeClr val="dk1"/>
              </a:solidFill>
              <a:effectLst/>
              <a:latin typeface="+mn-lt"/>
              <a:ea typeface="+mn-ea"/>
              <a:cs typeface="+mn-cs"/>
            </a:rPr>
            <a:t>ありません。</a:t>
          </a:r>
          <a:endParaRPr kumimoji="1" lang="en-US" altLang="ja-JP" sz="1100" b="1">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lang="ja-JP" altLang="ja-JP" sz="1100" b="1">
            <a:effectLst/>
          </a:endParaRPr>
        </a:p>
      </xdr:txBody>
    </xdr:sp>
    <xdr:clientData/>
  </xdr:twoCellAnchor>
  <xdr:twoCellAnchor>
    <xdr:from>
      <xdr:col>38</xdr:col>
      <xdr:colOff>396526</xdr:colOff>
      <xdr:row>13</xdr:row>
      <xdr:rowOff>17863</xdr:rowOff>
    </xdr:from>
    <xdr:to>
      <xdr:col>41</xdr:col>
      <xdr:colOff>185537</xdr:colOff>
      <xdr:row>13</xdr:row>
      <xdr:rowOff>233863</xdr:rowOff>
    </xdr:to>
    <xdr:grpSp>
      <xdr:nvGrpSpPr>
        <xdr:cNvPr id="13" name="グループ化 12">
          <a:extLst>
            <a:ext uri="{FF2B5EF4-FFF2-40B4-BE49-F238E27FC236}">
              <a16:creationId xmlns:a16="http://schemas.microsoft.com/office/drawing/2014/main" id="{6ABC708F-9F08-4139-9B78-162F881A0176}"/>
            </a:ext>
          </a:extLst>
        </xdr:cNvPr>
        <xdr:cNvGrpSpPr/>
      </xdr:nvGrpSpPr>
      <xdr:grpSpPr>
        <a:xfrm>
          <a:off x="8622662" y="2658886"/>
          <a:ext cx="1382284" cy="216000"/>
          <a:chOff x="7037122" y="3774163"/>
          <a:chExt cx="996655" cy="236147"/>
        </a:xfrm>
      </xdr:grpSpPr>
      <xdr:sp macro="" textlink="">
        <xdr:nvSpPr>
          <xdr:cNvPr id="14" name="正方形/長方形 36">
            <a:extLst>
              <a:ext uri="{FF2B5EF4-FFF2-40B4-BE49-F238E27FC236}">
                <a16:creationId xmlns:a16="http://schemas.microsoft.com/office/drawing/2014/main" id="{E851DA8E-EEEF-780C-77FD-C63DBD05D186}"/>
              </a:ext>
            </a:extLst>
          </xdr:cNvPr>
          <xdr:cNvSpPr/>
        </xdr:nvSpPr>
        <xdr:spPr bwMode="auto">
          <a:xfrm>
            <a:off x="7037122" y="3774163"/>
            <a:ext cx="156501" cy="236147"/>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a:t>○</a:t>
            </a:r>
          </a:p>
        </xdr:txBody>
      </xdr:sp>
      <xdr:sp macro="" textlink="">
        <xdr:nvSpPr>
          <xdr:cNvPr id="15" name="テキスト ボックス 40">
            <a:extLst>
              <a:ext uri="{FF2B5EF4-FFF2-40B4-BE49-F238E27FC236}">
                <a16:creationId xmlns:a16="http://schemas.microsoft.com/office/drawing/2014/main" id="{9C9F7F13-16D2-1896-9001-7C816ABDDFBB}"/>
              </a:ext>
            </a:extLst>
          </xdr:cNvPr>
          <xdr:cNvSpPr txBox="1"/>
        </xdr:nvSpPr>
        <xdr:spPr>
          <a:xfrm>
            <a:off x="7164863" y="3792978"/>
            <a:ext cx="868914" cy="19441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r>
              <a:rPr kumimoji="1" lang="ja-JP" altLang="en-US" sz="1100" b="1"/>
              <a:t>要件を満たす</a:t>
            </a:r>
          </a:p>
        </xdr:txBody>
      </xdr:sp>
    </xdr:grpSp>
    <xdr:clientData/>
  </xdr:twoCellAnchor>
  <xdr:twoCellAnchor>
    <xdr:from>
      <xdr:col>41</xdr:col>
      <xdr:colOff>375810</xdr:colOff>
      <xdr:row>13</xdr:row>
      <xdr:rowOff>29035</xdr:rowOff>
    </xdr:from>
    <xdr:to>
      <xdr:col>47</xdr:col>
      <xdr:colOff>400314</xdr:colOff>
      <xdr:row>13</xdr:row>
      <xdr:rowOff>231221</xdr:rowOff>
    </xdr:to>
    <xdr:sp macro="" textlink="">
      <xdr:nvSpPr>
        <xdr:cNvPr id="16" name="テキスト ボックス 41">
          <a:extLst>
            <a:ext uri="{FF2B5EF4-FFF2-40B4-BE49-F238E27FC236}">
              <a16:creationId xmlns:a16="http://schemas.microsoft.com/office/drawing/2014/main" id="{A40151CC-5E89-4601-98F1-4332AE512A7E}"/>
            </a:ext>
          </a:extLst>
        </xdr:cNvPr>
        <xdr:cNvSpPr txBox="1"/>
      </xdr:nvSpPr>
      <xdr:spPr>
        <a:xfrm>
          <a:off x="10148460" y="2657935"/>
          <a:ext cx="3434454" cy="20218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r>
            <a:rPr kumimoji="1" lang="ja-JP" altLang="en-US" sz="1100" b="1"/>
            <a:t>要件を満たさない（または未入力あり）</a:t>
          </a:r>
        </a:p>
      </xdr:txBody>
    </xdr:sp>
    <xdr:clientData/>
  </xdr:twoCellAnchor>
  <xdr:twoCellAnchor>
    <xdr:from>
      <xdr:col>46</xdr:col>
      <xdr:colOff>189608</xdr:colOff>
      <xdr:row>13</xdr:row>
      <xdr:rowOff>29792</xdr:rowOff>
    </xdr:from>
    <xdr:to>
      <xdr:col>50</xdr:col>
      <xdr:colOff>239314</xdr:colOff>
      <xdr:row>13</xdr:row>
      <xdr:rowOff>251162</xdr:rowOff>
    </xdr:to>
    <xdr:grpSp>
      <xdr:nvGrpSpPr>
        <xdr:cNvPr id="17" name="グループ化 16">
          <a:extLst>
            <a:ext uri="{FF2B5EF4-FFF2-40B4-BE49-F238E27FC236}">
              <a16:creationId xmlns:a16="http://schemas.microsoft.com/office/drawing/2014/main" id="{D39FDAAB-E555-4B8F-A8C3-735ECAB51E06}"/>
            </a:ext>
          </a:extLst>
        </xdr:cNvPr>
        <xdr:cNvGrpSpPr/>
      </xdr:nvGrpSpPr>
      <xdr:grpSpPr>
        <a:xfrm>
          <a:off x="12823222" y="2670815"/>
          <a:ext cx="2049956" cy="221370"/>
          <a:chOff x="10793178" y="3757272"/>
          <a:chExt cx="1747283" cy="217099"/>
        </a:xfrm>
      </xdr:grpSpPr>
      <xdr:sp macro="" textlink="">
        <xdr:nvSpPr>
          <xdr:cNvPr id="18" name="テキスト ボックス 42">
            <a:extLst>
              <a:ext uri="{FF2B5EF4-FFF2-40B4-BE49-F238E27FC236}">
                <a16:creationId xmlns:a16="http://schemas.microsoft.com/office/drawing/2014/main" id="{1B1AA51E-A786-A7F2-2864-0619A4698B3B}"/>
              </a:ext>
            </a:extLst>
          </xdr:cNvPr>
          <xdr:cNvSpPr txBox="1"/>
        </xdr:nvSpPr>
        <xdr:spPr>
          <a:xfrm>
            <a:off x="11213737" y="3757272"/>
            <a:ext cx="1326724" cy="2006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lgn="l"/>
            <a:r>
              <a:rPr kumimoji="1" lang="ja-JP" altLang="en-US" sz="1100" b="1"/>
              <a:t>要件には影響せず</a:t>
            </a:r>
            <a:endParaRPr kumimoji="1" lang="en-US" altLang="ja-JP" sz="1100" b="1"/>
          </a:p>
        </xdr:txBody>
      </xdr:sp>
      <xdr:sp macro="" textlink="">
        <xdr:nvSpPr>
          <xdr:cNvPr id="19" name="正方形/長方形 38">
            <a:extLst>
              <a:ext uri="{FF2B5EF4-FFF2-40B4-BE49-F238E27FC236}">
                <a16:creationId xmlns:a16="http://schemas.microsoft.com/office/drawing/2014/main" id="{69DF44D4-BA4E-5F53-E07D-4ECA3C50608E}"/>
              </a:ext>
            </a:extLst>
          </xdr:cNvPr>
          <xdr:cNvSpPr/>
        </xdr:nvSpPr>
        <xdr:spPr bwMode="auto">
          <a:xfrm>
            <a:off x="10793178" y="3762539"/>
            <a:ext cx="188662" cy="211832"/>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100" b="1" i="0"/>
              <a:t>×</a:t>
            </a:r>
            <a:endParaRPr kumimoji="1" lang="ja-JP" altLang="en-US" sz="1100" b="1" i="0"/>
          </a:p>
        </xdr:txBody>
      </xdr:sp>
    </xdr:grpSp>
    <xdr:clientData/>
  </xdr:twoCellAnchor>
  <mc:AlternateContent xmlns:mc="http://schemas.openxmlformats.org/markup-compatibility/2006">
    <mc:Choice xmlns:a14="http://schemas.microsoft.com/office/drawing/2010/main" Requires="a14">
      <xdr:twoCellAnchor editAs="oneCell">
        <xdr:from>
          <xdr:col>0</xdr:col>
          <xdr:colOff>133350</xdr:colOff>
          <xdr:row>120</xdr:row>
          <xdr:rowOff>19050</xdr:rowOff>
        </xdr:from>
        <xdr:to>
          <xdr:col>2</xdr:col>
          <xdr:colOff>9525</xdr:colOff>
          <xdr:row>121</xdr:row>
          <xdr:rowOff>0</xdr:rowOff>
        </xdr:to>
        <xdr:sp macro="" textlink="">
          <xdr:nvSpPr>
            <xdr:cNvPr id="133127" name="Check Box 7" hidden="1">
              <a:extLst>
                <a:ext uri="{63B3BB69-23CF-44E3-9099-C40C66FF867C}">
                  <a14:compatExt spid="_x0000_s133127"/>
                </a:ext>
                <a:ext uri="{FF2B5EF4-FFF2-40B4-BE49-F238E27FC236}">
                  <a16:creationId xmlns:a16="http://schemas.microsoft.com/office/drawing/2014/main" id="{00000000-0008-0000-0100-00000708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80</xdr:row>
          <xdr:rowOff>135255</xdr:rowOff>
        </xdr:from>
        <xdr:to>
          <xdr:col>6</xdr:col>
          <xdr:colOff>15240</xdr:colOff>
          <xdr:row>96</xdr:row>
          <xdr:rowOff>20955</xdr:rowOff>
        </xdr:to>
        <xdr:grpSp>
          <xdr:nvGrpSpPr>
            <xdr:cNvPr id="20" name="Group 41">
              <a:extLst>
                <a:ext uri="{FF2B5EF4-FFF2-40B4-BE49-F238E27FC236}">
                  <a16:creationId xmlns:a16="http://schemas.microsoft.com/office/drawing/2014/main" id="{38565709-205B-4F8F-96CD-18F96F9AFAE6}"/>
                </a:ext>
              </a:extLst>
            </xdr:cNvPr>
            <xdr:cNvGrpSpPr>
              <a:grpSpLocks/>
            </xdr:cNvGrpSpPr>
          </xdr:nvGrpSpPr>
          <xdr:grpSpPr bwMode="auto">
            <a:xfrm>
              <a:off x="1033895" y="20873778"/>
              <a:ext cx="158981" cy="531495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95</xdr:row>
          <xdr:rowOff>0</xdr:rowOff>
        </xdr:from>
        <xdr:to>
          <xdr:col>6</xdr:col>
          <xdr:colOff>15240</xdr:colOff>
          <xdr:row>97</xdr:row>
          <xdr:rowOff>0</xdr:rowOff>
        </xdr:to>
        <xdr:grpSp>
          <xdr:nvGrpSpPr>
            <xdr:cNvPr id="21" name="Group 41">
              <a:extLst>
                <a:ext uri="{FF2B5EF4-FFF2-40B4-BE49-F238E27FC236}">
                  <a16:creationId xmlns:a16="http://schemas.microsoft.com/office/drawing/2014/main" id="{CEEE2601-E1F1-4B3A-B4A4-B64CFBC89B70}"/>
                </a:ext>
              </a:extLst>
            </xdr:cNvPr>
            <xdr:cNvGrpSpPr>
              <a:grpSpLocks/>
            </xdr:cNvGrpSpPr>
          </xdr:nvGrpSpPr>
          <xdr:grpSpPr bwMode="auto">
            <a:xfrm>
              <a:off x="1033895" y="25977273"/>
              <a:ext cx="158981" cy="268432"/>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80</xdr:row>
          <xdr:rowOff>131445</xdr:rowOff>
        </xdr:from>
        <xdr:to>
          <xdr:col>6</xdr:col>
          <xdr:colOff>19050</xdr:colOff>
          <xdr:row>96</xdr:row>
          <xdr:rowOff>17145</xdr:rowOff>
        </xdr:to>
        <xdr:grpSp>
          <xdr:nvGrpSpPr>
            <xdr:cNvPr id="22" name="Group 41">
              <a:extLst>
                <a:ext uri="{FF2B5EF4-FFF2-40B4-BE49-F238E27FC236}">
                  <a16:creationId xmlns:a16="http://schemas.microsoft.com/office/drawing/2014/main" id="{7C63C2B3-B213-4ED1-91F5-47E0166B98AD}"/>
                </a:ext>
              </a:extLst>
            </xdr:cNvPr>
            <xdr:cNvGrpSpPr>
              <a:grpSpLocks/>
            </xdr:cNvGrpSpPr>
          </xdr:nvGrpSpPr>
          <xdr:grpSpPr bwMode="auto">
            <a:xfrm>
              <a:off x="1033895" y="20869968"/>
              <a:ext cx="162791" cy="531495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95</xdr:row>
          <xdr:rowOff>0</xdr:rowOff>
        </xdr:from>
        <xdr:to>
          <xdr:col>6</xdr:col>
          <xdr:colOff>19050</xdr:colOff>
          <xdr:row>97</xdr:row>
          <xdr:rowOff>0</xdr:rowOff>
        </xdr:to>
        <xdr:grpSp>
          <xdr:nvGrpSpPr>
            <xdr:cNvPr id="23" name="Group 41">
              <a:extLst>
                <a:ext uri="{FF2B5EF4-FFF2-40B4-BE49-F238E27FC236}">
                  <a16:creationId xmlns:a16="http://schemas.microsoft.com/office/drawing/2014/main" id="{C65C32D3-DDE9-4BCA-AB12-D7E8B15BDC5B}"/>
                </a:ext>
              </a:extLst>
            </xdr:cNvPr>
            <xdr:cNvGrpSpPr>
              <a:grpSpLocks/>
            </xdr:cNvGrpSpPr>
          </xdr:nvGrpSpPr>
          <xdr:grpSpPr bwMode="auto">
            <a:xfrm>
              <a:off x="1033895" y="25977273"/>
              <a:ext cx="162791" cy="268432"/>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80</xdr:row>
          <xdr:rowOff>131445</xdr:rowOff>
        </xdr:from>
        <xdr:to>
          <xdr:col>6</xdr:col>
          <xdr:colOff>19050</xdr:colOff>
          <xdr:row>97</xdr:row>
          <xdr:rowOff>0</xdr:rowOff>
        </xdr:to>
        <xdr:grpSp>
          <xdr:nvGrpSpPr>
            <xdr:cNvPr id="24" name="Group 41">
              <a:extLst>
                <a:ext uri="{FF2B5EF4-FFF2-40B4-BE49-F238E27FC236}">
                  <a16:creationId xmlns:a16="http://schemas.microsoft.com/office/drawing/2014/main" id="{9E1DC423-B1EC-43C9-8C66-AAFAEE7F186D}"/>
                </a:ext>
              </a:extLst>
            </xdr:cNvPr>
            <xdr:cNvGrpSpPr>
              <a:grpSpLocks/>
            </xdr:cNvGrpSpPr>
          </xdr:nvGrpSpPr>
          <xdr:grpSpPr bwMode="auto">
            <a:xfrm>
              <a:off x="1033895" y="20869968"/>
              <a:ext cx="162791" cy="5375737"/>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96</xdr:row>
          <xdr:rowOff>0</xdr:rowOff>
        </xdr:from>
        <xdr:to>
          <xdr:col>6</xdr:col>
          <xdr:colOff>19050</xdr:colOff>
          <xdr:row>97</xdr:row>
          <xdr:rowOff>0</xdr:rowOff>
        </xdr:to>
        <xdr:grpSp>
          <xdr:nvGrpSpPr>
            <xdr:cNvPr id="25" name="Group 41">
              <a:extLst>
                <a:ext uri="{FF2B5EF4-FFF2-40B4-BE49-F238E27FC236}">
                  <a16:creationId xmlns:a16="http://schemas.microsoft.com/office/drawing/2014/main" id="{942FF389-BE86-4D15-A066-2B49ED5D87EC}"/>
                </a:ext>
              </a:extLst>
            </xdr:cNvPr>
            <xdr:cNvGrpSpPr>
              <a:grpSpLocks/>
            </xdr:cNvGrpSpPr>
          </xdr:nvGrpSpPr>
          <xdr:grpSpPr bwMode="auto">
            <a:xfrm>
              <a:off x="1033895" y="26167773"/>
              <a:ext cx="162791" cy="77932"/>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80</xdr:row>
          <xdr:rowOff>135255</xdr:rowOff>
        </xdr:from>
        <xdr:to>
          <xdr:col>6</xdr:col>
          <xdr:colOff>15240</xdr:colOff>
          <xdr:row>97</xdr:row>
          <xdr:rowOff>0</xdr:rowOff>
        </xdr:to>
        <xdr:grpSp>
          <xdr:nvGrpSpPr>
            <xdr:cNvPr id="26" name="Group 41">
              <a:extLst>
                <a:ext uri="{FF2B5EF4-FFF2-40B4-BE49-F238E27FC236}">
                  <a16:creationId xmlns:a16="http://schemas.microsoft.com/office/drawing/2014/main" id="{78A96CCF-535D-4577-8490-DA9451135D86}"/>
                </a:ext>
              </a:extLst>
            </xdr:cNvPr>
            <xdr:cNvGrpSpPr>
              <a:grpSpLocks/>
            </xdr:cNvGrpSpPr>
          </xdr:nvGrpSpPr>
          <xdr:grpSpPr bwMode="auto">
            <a:xfrm>
              <a:off x="1033895" y="20873778"/>
              <a:ext cx="158981" cy="5371927"/>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96</xdr:row>
          <xdr:rowOff>0</xdr:rowOff>
        </xdr:from>
        <xdr:to>
          <xdr:col>6</xdr:col>
          <xdr:colOff>15240</xdr:colOff>
          <xdr:row>97</xdr:row>
          <xdr:rowOff>0</xdr:rowOff>
        </xdr:to>
        <xdr:grpSp>
          <xdr:nvGrpSpPr>
            <xdr:cNvPr id="27" name="Group 41">
              <a:extLst>
                <a:ext uri="{FF2B5EF4-FFF2-40B4-BE49-F238E27FC236}">
                  <a16:creationId xmlns:a16="http://schemas.microsoft.com/office/drawing/2014/main" id="{4F119DC1-44F8-49BC-99BA-BCA45B0FFD31}"/>
                </a:ext>
              </a:extLst>
            </xdr:cNvPr>
            <xdr:cNvGrpSpPr>
              <a:grpSpLocks/>
            </xdr:cNvGrpSpPr>
          </xdr:nvGrpSpPr>
          <xdr:grpSpPr bwMode="auto">
            <a:xfrm>
              <a:off x="1033895" y="26167773"/>
              <a:ext cx="158981" cy="77932"/>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86</xdr:row>
          <xdr:rowOff>0</xdr:rowOff>
        </xdr:from>
        <xdr:to>
          <xdr:col>6</xdr:col>
          <xdr:colOff>19050</xdr:colOff>
          <xdr:row>87</xdr:row>
          <xdr:rowOff>0</xdr:rowOff>
        </xdr:to>
        <xdr:grpSp>
          <xdr:nvGrpSpPr>
            <xdr:cNvPr id="28" name="Group 41">
              <a:extLst>
                <a:ext uri="{FF2B5EF4-FFF2-40B4-BE49-F238E27FC236}">
                  <a16:creationId xmlns:a16="http://schemas.microsoft.com/office/drawing/2014/main" id="{105A6097-0C4F-4A0D-ADC4-F68FF3403EEF}"/>
                </a:ext>
              </a:extLst>
            </xdr:cNvPr>
            <xdr:cNvGrpSpPr>
              <a:grpSpLocks/>
            </xdr:cNvGrpSpPr>
          </xdr:nvGrpSpPr>
          <xdr:grpSpPr bwMode="auto">
            <a:xfrm>
              <a:off x="1033895" y="22756091"/>
              <a:ext cx="162791" cy="19050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86</xdr:row>
          <xdr:rowOff>0</xdr:rowOff>
        </xdr:from>
        <xdr:to>
          <xdr:col>6</xdr:col>
          <xdr:colOff>15240</xdr:colOff>
          <xdr:row>87</xdr:row>
          <xdr:rowOff>0</xdr:rowOff>
        </xdr:to>
        <xdr:grpSp>
          <xdr:nvGrpSpPr>
            <xdr:cNvPr id="29" name="Group 41">
              <a:extLst>
                <a:ext uri="{FF2B5EF4-FFF2-40B4-BE49-F238E27FC236}">
                  <a16:creationId xmlns:a16="http://schemas.microsoft.com/office/drawing/2014/main" id="{158DAF9E-249E-4C7B-B1E6-DC2A2F5466F1}"/>
                </a:ext>
              </a:extLst>
            </xdr:cNvPr>
            <xdr:cNvGrpSpPr>
              <a:grpSpLocks/>
            </xdr:cNvGrpSpPr>
          </xdr:nvGrpSpPr>
          <xdr:grpSpPr bwMode="auto">
            <a:xfrm>
              <a:off x="1033895" y="22756091"/>
              <a:ext cx="158981" cy="19050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94</xdr:row>
          <xdr:rowOff>0</xdr:rowOff>
        </xdr:from>
        <xdr:to>
          <xdr:col>6</xdr:col>
          <xdr:colOff>15240</xdr:colOff>
          <xdr:row>95</xdr:row>
          <xdr:rowOff>0</xdr:rowOff>
        </xdr:to>
        <xdr:grpSp>
          <xdr:nvGrpSpPr>
            <xdr:cNvPr id="30" name="Group 41">
              <a:extLst>
                <a:ext uri="{FF2B5EF4-FFF2-40B4-BE49-F238E27FC236}">
                  <a16:creationId xmlns:a16="http://schemas.microsoft.com/office/drawing/2014/main" id="{82560719-EA8A-48AC-88EF-E1400E4C13B8}"/>
                </a:ext>
              </a:extLst>
            </xdr:cNvPr>
            <xdr:cNvGrpSpPr>
              <a:grpSpLocks/>
            </xdr:cNvGrpSpPr>
          </xdr:nvGrpSpPr>
          <xdr:grpSpPr bwMode="auto">
            <a:xfrm>
              <a:off x="1033895" y="25786773"/>
              <a:ext cx="158981" cy="19050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94</xdr:row>
          <xdr:rowOff>0</xdr:rowOff>
        </xdr:from>
        <xdr:to>
          <xdr:col>6</xdr:col>
          <xdr:colOff>19050</xdr:colOff>
          <xdr:row>95</xdr:row>
          <xdr:rowOff>0</xdr:rowOff>
        </xdr:to>
        <xdr:grpSp>
          <xdr:nvGrpSpPr>
            <xdr:cNvPr id="31" name="Group 41">
              <a:extLst>
                <a:ext uri="{FF2B5EF4-FFF2-40B4-BE49-F238E27FC236}">
                  <a16:creationId xmlns:a16="http://schemas.microsoft.com/office/drawing/2014/main" id="{23661671-2AEB-4443-BF53-53A8B637EEE6}"/>
                </a:ext>
              </a:extLst>
            </xdr:cNvPr>
            <xdr:cNvGrpSpPr>
              <a:grpSpLocks/>
            </xdr:cNvGrpSpPr>
          </xdr:nvGrpSpPr>
          <xdr:grpSpPr bwMode="auto">
            <a:xfrm>
              <a:off x="1033895" y="25786773"/>
              <a:ext cx="162791" cy="19050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33</xdr:col>
          <xdr:colOff>38100</xdr:colOff>
          <xdr:row>91</xdr:row>
          <xdr:rowOff>0</xdr:rowOff>
        </xdr:from>
        <xdr:to>
          <xdr:col>34</xdr:col>
          <xdr:colOff>15240</xdr:colOff>
          <xdr:row>92</xdr:row>
          <xdr:rowOff>0</xdr:rowOff>
        </xdr:to>
        <xdr:grpSp>
          <xdr:nvGrpSpPr>
            <xdr:cNvPr id="32" name="Group 41">
              <a:extLst>
                <a:ext uri="{FF2B5EF4-FFF2-40B4-BE49-F238E27FC236}">
                  <a16:creationId xmlns:a16="http://schemas.microsoft.com/office/drawing/2014/main" id="{AD123E10-E2C0-479C-849F-C97A80F71EC7}"/>
                </a:ext>
              </a:extLst>
            </xdr:cNvPr>
            <xdr:cNvGrpSpPr>
              <a:grpSpLocks/>
            </xdr:cNvGrpSpPr>
          </xdr:nvGrpSpPr>
          <xdr:grpSpPr bwMode="auto">
            <a:xfrm>
              <a:off x="6818168" y="24773659"/>
              <a:ext cx="158981" cy="355023"/>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33</xdr:col>
          <xdr:colOff>38100</xdr:colOff>
          <xdr:row>91</xdr:row>
          <xdr:rowOff>0</xdr:rowOff>
        </xdr:from>
        <xdr:to>
          <xdr:col>34</xdr:col>
          <xdr:colOff>19050</xdr:colOff>
          <xdr:row>92</xdr:row>
          <xdr:rowOff>0</xdr:rowOff>
        </xdr:to>
        <xdr:grpSp>
          <xdr:nvGrpSpPr>
            <xdr:cNvPr id="33" name="Group 41">
              <a:extLst>
                <a:ext uri="{FF2B5EF4-FFF2-40B4-BE49-F238E27FC236}">
                  <a16:creationId xmlns:a16="http://schemas.microsoft.com/office/drawing/2014/main" id="{69BDBEC5-CA47-48B5-925F-EC4A303F17D2}"/>
                </a:ext>
              </a:extLst>
            </xdr:cNvPr>
            <xdr:cNvGrpSpPr>
              <a:grpSpLocks/>
            </xdr:cNvGrpSpPr>
          </xdr:nvGrpSpPr>
          <xdr:grpSpPr bwMode="auto">
            <a:xfrm>
              <a:off x="6818168" y="24773659"/>
              <a:ext cx="162791" cy="355023"/>
              <a:chOff x="9239" y="107537"/>
              <a:chExt cx="2190" cy="12573"/>
            </a:xfrm>
          </xdr:grpSpPr>
        </xdr:grpSp>
        <xdr:clientData/>
      </xdr:twoCellAnchor>
    </mc:Choice>
    <mc:Fallback/>
  </mc:AlternateContent>
  <xdr:twoCellAnchor>
    <xdr:from>
      <xdr:col>40</xdr:col>
      <xdr:colOff>289293</xdr:colOff>
      <xdr:row>2</xdr:row>
      <xdr:rowOff>207057</xdr:rowOff>
    </xdr:from>
    <xdr:to>
      <xdr:col>42</xdr:col>
      <xdr:colOff>58063</xdr:colOff>
      <xdr:row>3</xdr:row>
      <xdr:rowOff>152956</xdr:rowOff>
    </xdr:to>
    <xdr:sp macro="" textlink="">
      <xdr:nvSpPr>
        <xdr:cNvPr id="34" name="正方形/長方形 33">
          <a:extLst>
            <a:ext uri="{FF2B5EF4-FFF2-40B4-BE49-F238E27FC236}">
              <a16:creationId xmlns:a16="http://schemas.microsoft.com/office/drawing/2014/main" id="{20DFCA33-BBCF-43CE-9141-7EF124FBA80F}"/>
            </a:ext>
          </a:extLst>
        </xdr:cNvPr>
        <xdr:cNvSpPr/>
      </xdr:nvSpPr>
      <xdr:spPr bwMode="auto">
        <a:xfrm>
          <a:off x="9652368" y="492807"/>
          <a:ext cx="635545" cy="174499"/>
        </a:xfrm>
        <a:prstGeom prst="rect">
          <a:avLst/>
        </a:prstGeom>
        <a:solidFill>
          <a:srgbClr val="FFF2CC"/>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100" b="1"/>
            <a:t>薄橙色</a:t>
          </a:r>
        </a:p>
      </xdr:txBody>
    </xdr:sp>
    <xdr:clientData/>
  </xdr:twoCellAnchor>
  <xdr:twoCellAnchor>
    <xdr:from>
      <xdr:col>41</xdr:col>
      <xdr:colOff>192332</xdr:colOff>
      <xdr:row>13</xdr:row>
      <xdr:rowOff>27476</xdr:rowOff>
    </xdr:from>
    <xdr:to>
      <xdr:col>41</xdr:col>
      <xdr:colOff>409439</xdr:colOff>
      <xdr:row>13</xdr:row>
      <xdr:rowOff>243476</xdr:rowOff>
    </xdr:to>
    <xdr:sp macro="" textlink="">
      <xdr:nvSpPr>
        <xdr:cNvPr id="35" name="正方形/長方形 36">
          <a:extLst>
            <a:ext uri="{FF2B5EF4-FFF2-40B4-BE49-F238E27FC236}">
              <a16:creationId xmlns:a16="http://schemas.microsoft.com/office/drawing/2014/main" id="{430462C6-C283-4293-8489-849273C9EB72}"/>
            </a:ext>
          </a:extLst>
        </xdr:cNvPr>
        <xdr:cNvSpPr/>
      </xdr:nvSpPr>
      <xdr:spPr bwMode="auto">
        <a:xfrm>
          <a:off x="9964982" y="2656376"/>
          <a:ext cx="217107" cy="21600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a:t>×</a:t>
          </a:r>
          <a:endParaRPr kumimoji="1" lang="ja-JP" altLang="en-US" sz="1050" b="1"/>
        </a:p>
      </xdr:txBody>
    </xdr:sp>
    <xdr:clientData/>
  </xdr:twoCellAnchor>
  <xdr:twoCellAnchor>
    <xdr:from>
      <xdr:col>46</xdr:col>
      <xdr:colOff>457932</xdr:colOff>
      <xdr:row>13</xdr:row>
      <xdr:rowOff>27476</xdr:rowOff>
    </xdr:from>
    <xdr:to>
      <xdr:col>47</xdr:col>
      <xdr:colOff>66239</xdr:colOff>
      <xdr:row>13</xdr:row>
      <xdr:rowOff>243475</xdr:rowOff>
    </xdr:to>
    <xdr:sp macro="" textlink="">
      <xdr:nvSpPr>
        <xdr:cNvPr id="36" name="正方形/長方形 38">
          <a:extLst>
            <a:ext uri="{FF2B5EF4-FFF2-40B4-BE49-F238E27FC236}">
              <a16:creationId xmlns:a16="http://schemas.microsoft.com/office/drawing/2014/main" id="{37001DF6-0830-48BC-B02B-7BB510447CAC}"/>
            </a:ext>
          </a:extLst>
        </xdr:cNvPr>
        <xdr:cNvSpPr/>
      </xdr:nvSpPr>
      <xdr:spPr bwMode="auto">
        <a:xfrm>
          <a:off x="13030932" y="2656376"/>
          <a:ext cx="217907" cy="215999"/>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endParaRPr kumimoji="1" lang="ja-JP" altLang="en-US" sz="1100" b="1" i="0"/>
        </a:p>
      </xdr:txBody>
    </xdr:sp>
    <xdr:clientData/>
  </xdr:twoCellAnchor>
  <xdr:twoCellAnchor>
    <xdr:from>
      <xdr:col>15</xdr:col>
      <xdr:colOff>550956</xdr:colOff>
      <xdr:row>16</xdr:row>
      <xdr:rowOff>74705</xdr:rowOff>
    </xdr:from>
    <xdr:to>
      <xdr:col>17</xdr:col>
      <xdr:colOff>166801</xdr:colOff>
      <xdr:row>16</xdr:row>
      <xdr:rowOff>234760</xdr:rowOff>
    </xdr:to>
    <xdr:sp macro="" textlink="">
      <xdr:nvSpPr>
        <xdr:cNvPr id="37" name="テキスト ボックス 36">
          <a:extLst>
            <a:ext uri="{FF2B5EF4-FFF2-40B4-BE49-F238E27FC236}">
              <a16:creationId xmlns:a16="http://schemas.microsoft.com/office/drawing/2014/main" id="{142350D9-A09A-40DD-B003-8D31E6E9E5AD}"/>
            </a:ext>
          </a:extLst>
        </xdr:cNvPr>
        <xdr:cNvSpPr txBox="1"/>
      </xdr:nvSpPr>
      <xdr:spPr>
        <a:xfrm>
          <a:off x="3275106" y="3541805"/>
          <a:ext cx="415945" cy="1600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(b)</a:t>
          </a:r>
          <a:endParaRPr kumimoji="1" lang="ja-JP" altLang="en-US" sz="900">
            <a:latin typeface="+mn-ea"/>
            <a:ea typeface="+mn-ea"/>
          </a:endParaRPr>
        </a:p>
      </xdr:txBody>
    </xdr:sp>
    <xdr:clientData/>
  </xdr:twoCellAnchor>
  <xdr:twoCellAnchor>
    <xdr:from>
      <xdr:col>15</xdr:col>
      <xdr:colOff>562534</xdr:colOff>
      <xdr:row>20</xdr:row>
      <xdr:rowOff>78351</xdr:rowOff>
    </xdr:from>
    <xdr:to>
      <xdr:col>19</xdr:col>
      <xdr:colOff>134830</xdr:colOff>
      <xdr:row>20</xdr:row>
      <xdr:rowOff>262706</xdr:rowOff>
    </xdr:to>
    <xdr:sp macro="" textlink="">
      <xdr:nvSpPr>
        <xdr:cNvPr id="38" name="テキスト ボックス 37">
          <a:extLst>
            <a:ext uri="{FF2B5EF4-FFF2-40B4-BE49-F238E27FC236}">
              <a16:creationId xmlns:a16="http://schemas.microsoft.com/office/drawing/2014/main" id="{AB3050A9-4411-45F3-84E1-C2E2B02366B3}"/>
            </a:ext>
          </a:extLst>
        </xdr:cNvPr>
        <xdr:cNvSpPr txBox="1"/>
      </xdr:nvSpPr>
      <xdr:spPr>
        <a:xfrm>
          <a:off x="3286684" y="4755126"/>
          <a:ext cx="810546"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(d)</a:t>
          </a:r>
          <a:endParaRPr kumimoji="1" lang="ja-JP" altLang="en-US" sz="900">
            <a:latin typeface="+mn-ea"/>
            <a:ea typeface="+mn-ea"/>
          </a:endParaRPr>
        </a:p>
      </xdr:txBody>
    </xdr:sp>
    <xdr:clientData/>
  </xdr:twoCellAnchor>
  <xdr:twoCellAnchor>
    <xdr:from>
      <xdr:col>15</xdr:col>
      <xdr:colOff>562534</xdr:colOff>
      <xdr:row>22</xdr:row>
      <xdr:rowOff>101061</xdr:rowOff>
    </xdr:from>
    <xdr:to>
      <xdr:col>19</xdr:col>
      <xdr:colOff>134830</xdr:colOff>
      <xdr:row>22</xdr:row>
      <xdr:rowOff>285416</xdr:rowOff>
    </xdr:to>
    <xdr:sp macro="" textlink="">
      <xdr:nvSpPr>
        <xdr:cNvPr id="39" name="テキスト ボックス 38">
          <a:extLst>
            <a:ext uri="{FF2B5EF4-FFF2-40B4-BE49-F238E27FC236}">
              <a16:creationId xmlns:a16="http://schemas.microsoft.com/office/drawing/2014/main" id="{FF51726A-AF30-4607-9C9C-4273B1535AAA}"/>
            </a:ext>
          </a:extLst>
        </xdr:cNvPr>
        <xdr:cNvSpPr txBox="1"/>
      </xdr:nvSpPr>
      <xdr:spPr>
        <a:xfrm>
          <a:off x="3286684" y="5501736"/>
          <a:ext cx="810546"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(f)</a:t>
          </a:r>
          <a:endParaRPr kumimoji="1" lang="ja-JP" altLang="en-US" sz="900">
            <a:latin typeface="+mn-ea"/>
            <a:ea typeface="+mn-ea"/>
          </a:endParaRPr>
        </a:p>
      </xdr:txBody>
    </xdr:sp>
    <xdr:clientData/>
  </xdr:twoCellAnchor>
  <xdr:twoCellAnchor>
    <xdr:from>
      <xdr:col>15</xdr:col>
      <xdr:colOff>562534</xdr:colOff>
      <xdr:row>21</xdr:row>
      <xdr:rowOff>160389</xdr:rowOff>
    </xdr:from>
    <xdr:to>
      <xdr:col>19</xdr:col>
      <xdr:colOff>134830</xdr:colOff>
      <xdr:row>21</xdr:row>
      <xdr:rowOff>344744</xdr:rowOff>
    </xdr:to>
    <xdr:sp macro="" textlink="">
      <xdr:nvSpPr>
        <xdr:cNvPr id="40" name="テキスト ボックス 39">
          <a:extLst>
            <a:ext uri="{FF2B5EF4-FFF2-40B4-BE49-F238E27FC236}">
              <a16:creationId xmlns:a16="http://schemas.microsoft.com/office/drawing/2014/main" id="{CAB67D7C-97C1-4950-B867-9A4116FA0982}"/>
            </a:ext>
          </a:extLst>
        </xdr:cNvPr>
        <xdr:cNvSpPr txBox="1"/>
      </xdr:nvSpPr>
      <xdr:spPr>
        <a:xfrm>
          <a:off x="3286684" y="5151489"/>
          <a:ext cx="810546"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(e)</a:t>
          </a:r>
          <a:endParaRPr kumimoji="1" lang="ja-JP" altLang="en-US" sz="900">
            <a:latin typeface="+mn-ea"/>
            <a:ea typeface="+mn-ea"/>
          </a:endParaRPr>
        </a:p>
      </xdr:txBody>
    </xdr:sp>
    <xdr:clientData/>
  </xdr:twoCellAnchor>
  <xdr:twoCellAnchor>
    <xdr:from>
      <xdr:col>15</xdr:col>
      <xdr:colOff>559220</xdr:colOff>
      <xdr:row>23</xdr:row>
      <xdr:rowOff>96043</xdr:rowOff>
    </xdr:from>
    <xdr:to>
      <xdr:col>19</xdr:col>
      <xdr:colOff>129980</xdr:colOff>
      <xdr:row>23</xdr:row>
      <xdr:rowOff>280398</xdr:rowOff>
    </xdr:to>
    <xdr:sp macro="" textlink="">
      <xdr:nvSpPr>
        <xdr:cNvPr id="41" name="テキスト ボックス 40">
          <a:extLst>
            <a:ext uri="{FF2B5EF4-FFF2-40B4-BE49-F238E27FC236}">
              <a16:creationId xmlns:a16="http://schemas.microsoft.com/office/drawing/2014/main" id="{30B000B1-B581-4DA2-87B3-70954662D0F2}"/>
            </a:ext>
          </a:extLst>
        </xdr:cNvPr>
        <xdr:cNvSpPr txBox="1"/>
      </xdr:nvSpPr>
      <xdr:spPr>
        <a:xfrm>
          <a:off x="3283370" y="5811043"/>
          <a:ext cx="80901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(g)</a:t>
          </a:r>
          <a:endParaRPr kumimoji="1" lang="ja-JP" altLang="en-US" sz="900">
            <a:latin typeface="+mn-ea"/>
            <a:ea typeface="+mn-ea"/>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11</xdr:col>
      <xdr:colOff>51955</xdr:colOff>
      <xdr:row>0</xdr:row>
      <xdr:rowOff>95805</xdr:rowOff>
    </xdr:from>
    <xdr:to>
      <xdr:col>31</xdr:col>
      <xdr:colOff>623455</xdr:colOff>
      <xdr:row>3</xdr:row>
      <xdr:rowOff>19282</xdr:rowOff>
    </xdr:to>
    <xdr:grpSp>
      <xdr:nvGrpSpPr>
        <xdr:cNvPr id="2" name="グループ化 1">
          <a:extLst>
            <a:ext uri="{FF2B5EF4-FFF2-40B4-BE49-F238E27FC236}">
              <a16:creationId xmlns:a16="http://schemas.microsoft.com/office/drawing/2014/main" id="{5D833BEC-A8E3-4A54-989D-5B98B25744FC}"/>
            </a:ext>
          </a:extLst>
        </xdr:cNvPr>
        <xdr:cNvGrpSpPr/>
      </xdr:nvGrpSpPr>
      <xdr:grpSpPr>
        <a:xfrm>
          <a:off x="6465455" y="95805"/>
          <a:ext cx="14001750" cy="907727"/>
          <a:chOff x="-24350837" y="191476"/>
          <a:chExt cx="251074291" cy="2218353"/>
        </a:xfrm>
      </xdr:grpSpPr>
      <xdr:sp macro="" textlink="">
        <xdr:nvSpPr>
          <xdr:cNvPr id="3" name="正方形/長方形 2">
            <a:extLst>
              <a:ext uri="{FF2B5EF4-FFF2-40B4-BE49-F238E27FC236}">
                <a16:creationId xmlns:a16="http://schemas.microsoft.com/office/drawing/2014/main" id="{936DAE58-436E-D199-D85E-EC2AC7AABE86}"/>
              </a:ext>
            </a:extLst>
          </xdr:cNvPr>
          <xdr:cNvSpPr/>
        </xdr:nvSpPr>
        <xdr:spPr bwMode="auto">
          <a:xfrm>
            <a:off x="-24350837" y="191476"/>
            <a:ext cx="251074291" cy="2218353"/>
          </a:xfrm>
          <a:prstGeom prst="rect">
            <a:avLst/>
          </a:prstGeom>
          <a:noFill/>
          <a:ln w="7620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800" b="1"/>
              <a:t>  【</a:t>
            </a:r>
            <a:r>
              <a:rPr kumimoji="1" lang="ja-JP" altLang="en-US" sz="1800" b="1"/>
              <a:t>記入上の注意</a:t>
            </a:r>
            <a:r>
              <a:rPr kumimoji="1" lang="en-US" altLang="ja-JP" sz="1800" b="1"/>
              <a:t>】</a:t>
            </a:r>
          </a:p>
          <a:p>
            <a:pPr algn="l"/>
            <a:r>
              <a:rPr kumimoji="1" lang="ja-JP" altLang="en-US" sz="1800" b="1">
                <a:latin typeface="+mn-ea"/>
                <a:ea typeface="+mn-ea"/>
              </a:rPr>
              <a:t>　・　</a:t>
            </a:r>
            <a:r>
              <a:rPr kumimoji="1" lang="ja-JP" altLang="en-US" sz="1800" b="1" baseline="0">
                <a:latin typeface="+mn-ea"/>
                <a:ea typeface="+mn-ea"/>
              </a:rPr>
              <a:t>　　　　　　    </a:t>
            </a:r>
            <a:r>
              <a:rPr kumimoji="1" lang="ja-JP" altLang="en-US" sz="1800" b="1">
                <a:latin typeface="+mn-ea"/>
                <a:ea typeface="+mn-ea"/>
              </a:rPr>
              <a:t>のセルは必ず入力してください。空欄がある場合は不備となります。</a:t>
            </a:r>
            <a:endParaRPr kumimoji="1" lang="en-US" altLang="ja-JP" sz="1800" b="1">
              <a:latin typeface="+mn-ea"/>
              <a:ea typeface="+mn-ea"/>
            </a:endParaRPr>
          </a:p>
        </xdr:txBody>
      </xdr:sp>
      <xdr:sp macro="" textlink="">
        <xdr:nvSpPr>
          <xdr:cNvPr id="4" name="正方形/長方形 3">
            <a:extLst>
              <a:ext uri="{FF2B5EF4-FFF2-40B4-BE49-F238E27FC236}">
                <a16:creationId xmlns:a16="http://schemas.microsoft.com/office/drawing/2014/main" id="{57904887-6809-6643-7FCA-DF88EF8D7C63}"/>
              </a:ext>
            </a:extLst>
          </xdr:cNvPr>
          <xdr:cNvSpPr/>
        </xdr:nvSpPr>
        <xdr:spPr bwMode="auto">
          <a:xfrm>
            <a:off x="-16155176" y="1381273"/>
            <a:ext cx="26320651" cy="593612"/>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800" b="1"/>
              <a:t>オレンジ色</a:t>
            </a:r>
          </a:p>
        </xdr:txBody>
      </xdr:sp>
    </xdr:grpSp>
    <xdr:clientData/>
  </xdr:twoCellAnchor>
</xdr:wsDr>
</file>

<file path=xl/drawings/drawing4.xml><?xml version="1.0" encoding="utf-8"?>
<xdr:wsDr xmlns:xdr="http://schemas.openxmlformats.org/drawingml/2006/spreadsheetDrawing" xmlns:a="http://schemas.openxmlformats.org/drawingml/2006/main">
  <xdr:twoCellAnchor>
    <xdr:from>
      <xdr:col>11</xdr:col>
      <xdr:colOff>55765</xdr:colOff>
      <xdr:row>0</xdr:row>
      <xdr:rowOff>91995</xdr:rowOff>
    </xdr:from>
    <xdr:to>
      <xdr:col>31</xdr:col>
      <xdr:colOff>627265</xdr:colOff>
      <xdr:row>3</xdr:row>
      <xdr:rowOff>15472</xdr:rowOff>
    </xdr:to>
    <xdr:grpSp>
      <xdr:nvGrpSpPr>
        <xdr:cNvPr id="2" name="グループ化 1">
          <a:extLst>
            <a:ext uri="{FF2B5EF4-FFF2-40B4-BE49-F238E27FC236}">
              <a16:creationId xmlns:a16="http://schemas.microsoft.com/office/drawing/2014/main" id="{F0741FE8-5817-492A-89B7-AFB12A576B0E}"/>
            </a:ext>
          </a:extLst>
        </xdr:cNvPr>
        <xdr:cNvGrpSpPr/>
      </xdr:nvGrpSpPr>
      <xdr:grpSpPr>
        <a:xfrm>
          <a:off x="6469265" y="91995"/>
          <a:ext cx="15605125" cy="907727"/>
          <a:chOff x="-24350837" y="191476"/>
          <a:chExt cx="251074291" cy="2218353"/>
        </a:xfrm>
      </xdr:grpSpPr>
      <xdr:sp macro="" textlink="">
        <xdr:nvSpPr>
          <xdr:cNvPr id="3" name="正方形/長方形 2">
            <a:extLst>
              <a:ext uri="{FF2B5EF4-FFF2-40B4-BE49-F238E27FC236}">
                <a16:creationId xmlns:a16="http://schemas.microsoft.com/office/drawing/2014/main" id="{9EB166D1-7589-4DFC-9056-5C7AC8003249}"/>
              </a:ext>
            </a:extLst>
          </xdr:cNvPr>
          <xdr:cNvSpPr/>
        </xdr:nvSpPr>
        <xdr:spPr bwMode="auto">
          <a:xfrm>
            <a:off x="-24350837" y="191476"/>
            <a:ext cx="251074291" cy="2218353"/>
          </a:xfrm>
          <a:prstGeom prst="rect">
            <a:avLst/>
          </a:prstGeom>
          <a:noFill/>
          <a:ln w="7620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800" b="1"/>
              <a:t>  【</a:t>
            </a:r>
            <a:r>
              <a:rPr kumimoji="1" lang="ja-JP" altLang="en-US" sz="1800" b="1"/>
              <a:t>記入上の注意</a:t>
            </a:r>
            <a:r>
              <a:rPr kumimoji="1" lang="en-US" altLang="ja-JP" sz="1800" b="1"/>
              <a:t>】</a:t>
            </a:r>
          </a:p>
          <a:p>
            <a:pPr algn="l"/>
            <a:r>
              <a:rPr kumimoji="1" lang="ja-JP" altLang="en-US" sz="1800" b="1">
                <a:latin typeface="+mn-ea"/>
                <a:ea typeface="+mn-ea"/>
              </a:rPr>
              <a:t>　・　</a:t>
            </a:r>
            <a:r>
              <a:rPr kumimoji="1" lang="ja-JP" altLang="en-US" sz="1800" b="1" baseline="0">
                <a:latin typeface="+mn-ea"/>
                <a:ea typeface="+mn-ea"/>
              </a:rPr>
              <a:t>　　　　　　    </a:t>
            </a:r>
            <a:r>
              <a:rPr kumimoji="1" lang="ja-JP" altLang="en-US" sz="1800" b="1">
                <a:latin typeface="+mn-ea"/>
                <a:ea typeface="+mn-ea"/>
              </a:rPr>
              <a:t>のセルは必ず入力してください。空欄がある場合は不備となります。</a:t>
            </a:r>
            <a:endParaRPr kumimoji="1" lang="en-US" altLang="ja-JP" sz="1800" b="1">
              <a:latin typeface="+mn-ea"/>
              <a:ea typeface="+mn-ea"/>
            </a:endParaRPr>
          </a:p>
        </xdr:txBody>
      </xdr:sp>
      <xdr:sp macro="" textlink="">
        <xdr:nvSpPr>
          <xdr:cNvPr id="4" name="正方形/長方形 3">
            <a:extLst>
              <a:ext uri="{FF2B5EF4-FFF2-40B4-BE49-F238E27FC236}">
                <a16:creationId xmlns:a16="http://schemas.microsoft.com/office/drawing/2014/main" id="{F93D8D11-C900-E09D-6A56-939FBA434483}"/>
              </a:ext>
            </a:extLst>
          </xdr:cNvPr>
          <xdr:cNvSpPr/>
        </xdr:nvSpPr>
        <xdr:spPr bwMode="auto">
          <a:xfrm>
            <a:off x="-17744659" y="1381274"/>
            <a:ext cx="26320653" cy="593612"/>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800" b="1"/>
              <a:t>オレンジ色</a:t>
            </a:r>
          </a:p>
        </xdr:txBody>
      </xdr:sp>
    </xdr:grpSp>
    <xdr:clientData/>
  </xdr:twoCellAnchor>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4</xdr:col>
          <xdr:colOff>38100</xdr:colOff>
          <xdr:row>6</xdr:row>
          <xdr:rowOff>0</xdr:rowOff>
        </xdr:from>
        <xdr:to>
          <xdr:col>5</xdr:col>
          <xdr:colOff>19050</xdr:colOff>
          <xdr:row>8</xdr:row>
          <xdr:rowOff>0</xdr:rowOff>
        </xdr:to>
        <xdr:grpSp>
          <xdr:nvGrpSpPr>
            <xdr:cNvPr id="3" name="Group 41">
              <a:extLst>
                <a:ext uri="{FF2B5EF4-FFF2-40B4-BE49-F238E27FC236}">
                  <a16:creationId xmlns:a16="http://schemas.microsoft.com/office/drawing/2014/main" id="{5BD800AB-A6C1-42FB-AED1-686B962D6EFE}"/>
                </a:ext>
              </a:extLst>
            </xdr:cNvPr>
            <xdr:cNvGrpSpPr>
              <a:grpSpLocks/>
            </xdr:cNvGrpSpPr>
          </xdr:nvGrpSpPr>
          <xdr:grpSpPr bwMode="auto">
            <a:xfrm>
              <a:off x="8593591" y="2177143"/>
              <a:ext cx="3212647" cy="612321"/>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13</xdr:row>
          <xdr:rowOff>0</xdr:rowOff>
        </xdr:from>
        <xdr:to>
          <xdr:col>5</xdr:col>
          <xdr:colOff>19050</xdr:colOff>
          <xdr:row>15</xdr:row>
          <xdr:rowOff>0</xdr:rowOff>
        </xdr:to>
        <xdr:grpSp>
          <xdr:nvGrpSpPr>
            <xdr:cNvPr id="4" name="Group 41">
              <a:extLst>
                <a:ext uri="{FF2B5EF4-FFF2-40B4-BE49-F238E27FC236}">
                  <a16:creationId xmlns:a16="http://schemas.microsoft.com/office/drawing/2014/main" id="{1638069A-A2D0-4100-85BC-8D2E10606CAB}"/>
                </a:ext>
              </a:extLst>
            </xdr:cNvPr>
            <xdr:cNvGrpSpPr>
              <a:grpSpLocks/>
            </xdr:cNvGrpSpPr>
          </xdr:nvGrpSpPr>
          <xdr:grpSpPr bwMode="auto">
            <a:xfrm>
              <a:off x="8593591" y="5357813"/>
              <a:ext cx="3212647" cy="612321"/>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15</xdr:row>
          <xdr:rowOff>0</xdr:rowOff>
        </xdr:from>
        <xdr:to>
          <xdr:col>5</xdr:col>
          <xdr:colOff>19050</xdr:colOff>
          <xdr:row>16</xdr:row>
          <xdr:rowOff>0</xdr:rowOff>
        </xdr:to>
        <xdr:grpSp>
          <xdr:nvGrpSpPr>
            <xdr:cNvPr id="5" name="Group 41">
              <a:extLst>
                <a:ext uri="{FF2B5EF4-FFF2-40B4-BE49-F238E27FC236}">
                  <a16:creationId xmlns:a16="http://schemas.microsoft.com/office/drawing/2014/main" id="{ABE4957F-9FEE-4174-8574-E6BDC13F9FB4}"/>
                </a:ext>
              </a:extLst>
            </xdr:cNvPr>
            <xdr:cNvGrpSpPr>
              <a:grpSpLocks/>
            </xdr:cNvGrpSpPr>
          </xdr:nvGrpSpPr>
          <xdr:grpSpPr bwMode="auto">
            <a:xfrm>
              <a:off x="8593591" y="5970134"/>
              <a:ext cx="3212647" cy="204107"/>
              <a:chOff x="9239" y="107537"/>
              <a:chExt cx="2190" cy="12573"/>
            </a:xfrm>
          </xdr:grpSpPr>
        </xdr:grpSp>
        <xdr:clientData/>
      </xdr:twoCellAnchor>
    </mc:Choice>
    <mc:Fallback/>
  </mc:AlternateContent>
  <xdr:twoCellAnchor>
    <xdr:from>
      <xdr:col>11</xdr:col>
      <xdr:colOff>123799</xdr:colOff>
      <xdr:row>0</xdr:row>
      <xdr:rowOff>459241</xdr:rowOff>
    </xdr:from>
    <xdr:to>
      <xdr:col>26</xdr:col>
      <xdr:colOff>209711</xdr:colOff>
      <xdr:row>9</xdr:row>
      <xdr:rowOff>125533</xdr:rowOff>
    </xdr:to>
    <xdr:sp macro="" textlink="">
      <xdr:nvSpPr>
        <xdr:cNvPr id="6" name="テキスト ボックス 5">
          <a:extLst>
            <a:ext uri="{FF2B5EF4-FFF2-40B4-BE49-F238E27FC236}">
              <a16:creationId xmlns:a16="http://schemas.microsoft.com/office/drawing/2014/main" id="{42C407A1-24EE-48E4-8A7E-8FDA890EF52B}"/>
            </a:ext>
          </a:extLst>
        </xdr:cNvPr>
        <xdr:cNvSpPr txBox="1"/>
      </xdr:nvSpPr>
      <xdr:spPr>
        <a:xfrm>
          <a:off x="24395540" y="459241"/>
          <a:ext cx="11311805" cy="2914997"/>
        </a:xfrm>
        <a:prstGeom prst="rect">
          <a:avLst/>
        </a:prstGeom>
        <a:solidFill>
          <a:schemeClr val="lt1"/>
        </a:solidFill>
        <a:ln w="571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2000">
              <a:latin typeface="ＭＳ Ｐゴシック" panose="020B0600070205080204" pitchFamily="50" charset="-128"/>
              <a:ea typeface="ＭＳ Ｐゴシック" panose="020B0600070205080204" pitchFamily="50" charset="-128"/>
            </a:rPr>
            <a:t>【</a:t>
          </a:r>
          <a:r>
            <a:rPr kumimoji="1" lang="ja-JP" altLang="en-US" sz="2000">
              <a:latin typeface="ＭＳ Ｐゴシック" panose="020B0600070205080204" pitchFamily="50" charset="-128"/>
              <a:ea typeface="ＭＳ Ｐゴシック" panose="020B0600070205080204" pitchFamily="50" charset="-128"/>
            </a:rPr>
            <a:t>記入上の注意</a:t>
          </a:r>
          <a:r>
            <a:rPr kumimoji="1" lang="en-US" altLang="ja-JP" sz="2000">
              <a:latin typeface="ＭＳ Ｐゴシック" panose="020B0600070205080204" pitchFamily="50" charset="-128"/>
              <a:ea typeface="ＭＳ Ｐゴシック" panose="020B0600070205080204" pitchFamily="50" charset="-128"/>
            </a:rPr>
            <a:t>】</a:t>
          </a:r>
        </a:p>
        <a:p>
          <a:r>
            <a:rPr kumimoji="1" lang="ja-JP" altLang="en-US" sz="2000">
              <a:latin typeface="ＭＳ Ｐゴシック" panose="020B0600070205080204" pitchFamily="50" charset="-128"/>
              <a:ea typeface="ＭＳ Ｐゴシック" panose="020B0600070205080204" pitchFamily="50" charset="-128"/>
            </a:rPr>
            <a:t>・　本様式は、障害福祉サービス事業所等が、処遇改善加算</a:t>
          </a:r>
          <a:r>
            <a:rPr kumimoji="1" lang="en-US" altLang="ja-JP" sz="2000">
              <a:latin typeface="ＭＳ Ｐゴシック" panose="020B0600070205080204" pitchFamily="50" charset="-128"/>
              <a:ea typeface="ＭＳ Ｐゴシック" panose="020B0600070205080204" pitchFamily="50" charset="-128"/>
            </a:rPr>
            <a:t>Ⅳ</a:t>
          </a:r>
          <a:r>
            <a:rPr kumimoji="1" lang="ja-JP" altLang="en-US" sz="2000">
              <a:latin typeface="ＭＳ Ｐゴシック" panose="020B0600070205080204" pitchFamily="50" charset="-128"/>
              <a:ea typeface="ＭＳ Ｐゴシック" panose="020B0600070205080204" pitchFamily="50" charset="-128"/>
            </a:rPr>
            <a:t>に準ずる要件を満たすために作成すべき「書面」のひな形として、お示しするものです。</a:t>
          </a:r>
          <a:endParaRPr kumimoji="1" lang="en-US" altLang="ja-JP" sz="2000">
            <a:latin typeface="ＭＳ Ｐゴシック" panose="020B0600070205080204" pitchFamily="50" charset="-128"/>
            <a:ea typeface="ＭＳ Ｐゴシック" panose="020B0600070205080204" pitchFamily="50" charset="-128"/>
          </a:endParaRPr>
        </a:p>
        <a:p>
          <a:r>
            <a:rPr kumimoji="1" lang="ja-JP" altLang="en-US" sz="2000">
              <a:latin typeface="ＭＳ Ｐゴシック" panose="020B0600070205080204" pitchFamily="50" charset="-128"/>
              <a:ea typeface="ＭＳ Ｐゴシック" panose="020B0600070205080204" pitchFamily="50" charset="-128"/>
            </a:rPr>
            <a:t>・　各欄に記載の内容は「例」であるため、事業所ごとの実態に応じて修正の上、職員への周知を行うようにしてください。</a:t>
          </a:r>
          <a:endParaRPr kumimoji="1" lang="en-US" altLang="ja-JP" sz="2000">
            <a:latin typeface="ＭＳ Ｐゴシック" panose="020B0600070205080204" pitchFamily="50" charset="-128"/>
            <a:ea typeface="ＭＳ Ｐゴシック" panose="020B0600070205080204" pitchFamily="50" charset="-128"/>
          </a:endParaRPr>
        </a:p>
        <a:p>
          <a:r>
            <a:rPr kumimoji="1" lang="ja-JP" altLang="en-US" sz="2000">
              <a:latin typeface="ＭＳ Ｐゴシック" panose="020B0600070205080204" pitchFamily="50" charset="-128"/>
              <a:ea typeface="ＭＳ Ｐゴシック" panose="020B0600070205080204" pitchFamily="50" charset="-128"/>
            </a:rPr>
            <a:t>・　就業規則の作成義務がある事業所（常時雇用従業者が</a:t>
          </a:r>
          <a:r>
            <a:rPr kumimoji="1" lang="en-US" altLang="ja-JP" sz="2000">
              <a:latin typeface="ＭＳ Ｐゴシック" panose="020B0600070205080204" pitchFamily="50" charset="-128"/>
              <a:ea typeface="ＭＳ Ｐゴシック" panose="020B0600070205080204" pitchFamily="50" charset="-128"/>
            </a:rPr>
            <a:t>10</a:t>
          </a:r>
          <a:r>
            <a:rPr kumimoji="1" lang="ja-JP" altLang="en-US" sz="2000">
              <a:latin typeface="ＭＳ Ｐゴシック" panose="020B0600070205080204" pitchFamily="50" charset="-128"/>
              <a:ea typeface="ＭＳ Ｐゴシック" panose="020B0600070205080204" pitchFamily="50" charset="-128"/>
            </a:rPr>
            <a:t>名以上）においては、本様式とは別に、就業規則の適切な整備を行ってください。</a:t>
          </a:r>
          <a:endParaRPr kumimoji="1" lang="en-US" altLang="ja-JP" sz="2000">
            <a:latin typeface="ＭＳ Ｐゴシック" panose="020B0600070205080204" pitchFamily="50" charset="-128"/>
            <a:ea typeface="ＭＳ Ｐゴシック" panose="020B0600070205080204" pitchFamily="50" charset="-128"/>
          </a:endParaRPr>
        </a:p>
        <a:p>
          <a:r>
            <a:rPr kumimoji="1" lang="ja-JP" altLang="en-US" sz="2000">
              <a:latin typeface="ＭＳ Ｐゴシック" panose="020B0600070205080204" pitchFamily="50" charset="-128"/>
              <a:ea typeface="ＭＳ Ｐゴシック" panose="020B0600070205080204" pitchFamily="50" charset="-128"/>
            </a:rPr>
            <a:t>・　また、本様式を用いずに、独自に書面を整備いただいても差し支えありません。</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FF" mc:Ignorable="a14" a14:legacySpreadsheetColorIndex="39"/>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FF" mc:Ignorable="a14" a14:legacySpreadsheetColorIndex="39"/>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Y1" dT="2026-03-13T06:02:18.07" personId="{00000000-0000-0000-0000-000000000000}" id="{1EDF003E-D3C1-4952-B3CF-8D90466F84B0}">
    <text>ここいらない</text>
  </threadedComment>
  <threadedComment ref="O2" dT="2026-03-13T06:01:10.53" personId="{00000000-0000-0000-0000-000000000000}" id="{369BEC7A-C1E1-4873-B778-DC7134328361}">
    <text>障害は分類するのか？</text>
  </threadedComment>
  <threadedComment ref="AY12" dT="2026-03-13T12:28:17.83" personId="{00000000-0000-0000-0000-000000000000}" id="{3BAC8D45-2311-4470-A43D-2A115BBEAEE3}">
    <text>月曜日ここから定義を変えていく</text>
  </threadedComment>
</ThreadedComments>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aaa@aaa.com"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2.vml"/><Relationship Id="rId7" Type="http://schemas.openxmlformats.org/officeDocument/2006/relationships/ctrlProp" Target="../ctrlProps/ctrlProp4.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ctrlProp" Target="../ctrlProps/ctrlProp3.xml"/><Relationship Id="rId11" Type="http://schemas.openxmlformats.org/officeDocument/2006/relationships/comments" Target="../comments2.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4.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6.bin"/><Relationship Id="rId4" Type="http://schemas.microsoft.com/office/2017/10/relationships/threadedComment" Target="../threadedComments/threadedComment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AQ135"/>
  <sheetViews>
    <sheetView showGridLines="0" view="pageBreakPreview" zoomScale="104" zoomScaleNormal="67" zoomScaleSheetLayoutView="80" workbookViewId="0">
      <selection sqref="A1:AG1"/>
    </sheetView>
  </sheetViews>
  <sheetFormatPr defaultColWidth="9" defaultRowHeight="20.100000000000001" customHeight="1"/>
  <cols>
    <col min="1" max="1" width="6.375" style="24" customWidth="1"/>
    <col min="2" max="11" width="0.875" style="24" customWidth="1"/>
    <col min="12" max="17" width="1.375" style="24" customWidth="1"/>
    <col min="18" max="18" width="2.625" style="24" customWidth="1"/>
    <col min="19" max="19" width="1.375" style="24" customWidth="1"/>
    <col min="20" max="20" width="3.375" style="24" customWidth="1"/>
    <col min="21" max="21" width="1.75" style="24" customWidth="1"/>
    <col min="22" max="22" width="7.375" style="24" customWidth="1"/>
    <col min="23" max="23" width="14.375" style="24" customWidth="1"/>
    <col min="24" max="24" width="10.375" style="24" customWidth="1"/>
    <col min="25" max="25" width="4.875" style="24" customWidth="1"/>
    <col min="26" max="26" width="10.25" style="24" customWidth="1"/>
    <col min="27" max="27" width="10.625" style="24" customWidth="1"/>
    <col min="28" max="28" width="10.875" style="57" customWidth="1"/>
    <col min="29" max="29" width="2.75" style="57" customWidth="1"/>
    <col min="30" max="30" width="12.375" style="57" customWidth="1"/>
    <col min="31" max="31" width="10.875" style="24" customWidth="1"/>
    <col min="32" max="32" width="9.375" style="24" customWidth="1"/>
    <col min="33" max="33" width="9.625" customWidth="1"/>
    <col min="34" max="34" width="6.375" customWidth="1"/>
    <col min="35" max="35" width="18.875" customWidth="1"/>
    <col min="36" max="36" width="16.875" customWidth="1"/>
    <col min="37" max="37" width="8.875" customWidth="1"/>
    <col min="38" max="38" width="17.625" customWidth="1"/>
    <col min="39" max="39" width="14" customWidth="1"/>
    <col min="40" max="43" width="9" customWidth="1"/>
  </cols>
  <sheetData>
    <row r="1" spans="1:41" s="41" customFormat="1" ht="43.9" customHeight="1">
      <c r="A1" s="658" t="s">
        <v>2217</v>
      </c>
      <c r="B1" s="658"/>
      <c r="C1" s="658"/>
      <c r="D1" s="658"/>
      <c r="E1" s="658"/>
      <c r="F1" s="658"/>
      <c r="G1" s="658"/>
      <c r="H1" s="658"/>
      <c r="I1" s="658"/>
      <c r="J1" s="658"/>
      <c r="K1" s="658"/>
      <c r="L1" s="658"/>
      <c r="M1" s="658"/>
      <c r="N1" s="658"/>
      <c r="O1" s="658"/>
      <c r="P1" s="658"/>
      <c r="Q1" s="658"/>
      <c r="R1" s="658"/>
      <c r="S1" s="658"/>
      <c r="T1" s="658"/>
      <c r="U1" s="658"/>
      <c r="V1" s="658"/>
      <c r="W1" s="658"/>
      <c r="X1" s="658"/>
      <c r="Y1" s="658"/>
      <c r="Z1" s="658"/>
      <c r="AA1" s="658"/>
      <c r="AB1" s="658"/>
      <c r="AC1" s="658"/>
      <c r="AD1" s="658"/>
      <c r="AE1" s="658"/>
      <c r="AF1" s="658"/>
      <c r="AG1" s="658"/>
      <c r="AH1" s="42"/>
      <c r="AO1" s="43" t="s">
        <v>0</v>
      </c>
    </row>
    <row r="2" spans="1:41" s="41" customFormat="1" ht="28.9" customHeight="1">
      <c r="A2" s="644" t="s">
        <v>1</v>
      </c>
      <c r="B2" s="644"/>
      <c r="C2" s="644"/>
      <c r="D2" s="644"/>
      <c r="E2" s="644"/>
      <c r="F2" s="644"/>
      <c r="G2" s="644"/>
      <c r="H2" s="644"/>
      <c r="I2" s="644"/>
      <c r="J2" s="644"/>
      <c r="K2" s="644"/>
      <c r="L2" s="644"/>
      <c r="M2" s="644"/>
      <c r="N2" s="644"/>
      <c r="O2" s="644"/>
      <c r="P2" s="644"/>
      <c r="Q2" s="644"/>
      <c r="R2" s="644"/>
      <c r="S2" s="644"/>
      <c r="T2" s="644"/>
      <c r="U2" s="644"/>
      <c r="V2" s="644"/>
      <c r="W2" s="644"/>
      <c r="X2" s="644"/>
      <c r="Y2" s="644"/>
      <c r="Z2" s="644"/>
      <c r="AA2" s="644"/>
      <c r="AB2" s="644"/>
      <c r="AC2" s="644"/>
      <c r="AD2" s="644"/>
      <c r="AE2" s="644"/>
      <c r="AF2" s="644"/>
      <c r="AG2" s="644"/>
      <c r="AH2" s="44"/>
    </row>
    <row r="3" spans="1:41" s="46" customFormat="1" ht="19.149999999999999" customHeight="1">
      <c r="A3" s="652" t="s">
        <v>2218</v>
      </c>
      <c r="B3" s="652"/>
      <c r="C3" s="652"/>
      <c r="D3" s="652"/>
      <c r="E3" s="652"/>
      <c r="F3" s="652"/>
      <c r="G3" s="652"/>
      <c r="H3" s="652"/>
      <c r="I3" s="652"/>
      <c r="J3" s="652"/>
      <c r="K3" s="652"/>
      <c r="L3" s="652"/>
      <c r="M3" s="652"/>
      <c r="N3" s="652"/>
      <c r="O3" s="652"/>
      <c r="P3" s="652"/>
      <c r="Q3" s="652"/>
      <c r="R3" s="652"/>
      <c r="S3" s="652"/>
      <c r="T3" s="652"/>
      <c r="U3" s="652"/>
      <c r="V3" s="652"/>
      <c r="W3" s="652"/>
      <c r="X3" s="652"/>
      <c r="Y3" s="652"/>
      <c r="Z3" s="652"/>
      <c r="AA3" s="652"/>
      <c r="AB3" s="652"/>
      <c r="AC3" s="652"/>
      <c r="AD3" s="652"/>
      <c r="AE3" s="652"/>
      <c r="AF3" s="652"/>
      <c r="AG3" s="652"/>
      <c r="AH3" s="45"/>
    </row>
    <row r="4" spans="1:41" s="41" customFormat="1" ht="40.9" customHeight="1">
      <c r="A4" s="657" t="s">
        <v>2213</v>
      </c>
      <c r="B4" s="657"/>
      <c r="C4" s="657"/>
      <c r="D4" s="657"/>
      <c r="E4" s="657"/>
      <c r="F4" s="657"/>
      <c r="G4" s="657"/>
      <c r="H4" s="657"/>
      <c r="I4" s="657"/>
      <c r="J4" s="657"/>
      <c r="K4" s="657"/>
      <c r="L4" s="657"/>
      <c r="M4" s="657"/>
      <c r="N4" s="657"/>
      <c r="O4" s="657"/>
      <c r="P4" s="657"/>
      <c r="Q4" s="657"/>
      <c r="R4" s="657"/>
      <c r="S4" s="657"/>
      <c r="T4" s="657"/>
      <c r="U4" s="657"/>
      <c r="V4" s="657"/>
      <c r="W4" s="657"/>
      <c r="X4" s="657"/>
      <c r="Y4" s="657"/>
      <c r="Z4" s="657"/>
      <c r="AA4" s="657"/>
      <c r="AB4" s="657"/>
      <c r="AC4" s="657"/>
      <c r="AD4" s="657"/>
      <c r="AE4" s="657"/>
      <c r="AF4" s="657"/>
      <c r="AG4" s="657"/>
    </row>
    <row r="5" spans="1:41" ht="20.100000000000001" customHeight="1">
      <c r="A5" s="37"/>
      <c r="B5" s="37"/>
      <c r="C5" s="37"/>
      <c r="D5" s="37"/>
      <c r="E5" s="37"/>
      <c r="F5" s="37"/>
      <c r="G5" s="37"/>
      <c r="H5" s="37"/>
      <c r="I5" s="37"/>
      <c r="J5" s="37"/>
      <c r="K5" s="37"/>
      <c r="L5" s="37"/>
      <c r="M5" s="37"/>
      <c r="N5" s="37"/>
      <c r="O5" s="37"/>
      <c r="P5" s="37"/>
      <c r="Q5" s="37"/>
      <c r="R5" s="37"/>
      <c r="S5" s="37"/>
      <c r="T5" s="37"/>
      <c r="U5" s="37"/>
      <c r="V5" s="37"/>
      <c r="W5" s="37"/>
      <c r="X5" s="37"/>
      <c r="Y5" s="37"/>
      <c r="Z5" s="37"/>
      <c r="AB5" s="24"/>
      <c r="AC5" s="24"/>
      <c r="AD5" s="24"/>
    </row>
    <row r="6" spans="1:41" ht="20.100000000000001" customHeight="1">
      <c r="A6" s="37"/>
      <c r="B6" s="37"/>
      <c r="C6" s="37"/>
      <c r="D6" s="37"/>
      <c r="E6" s="37"/>
      <c r="F6" s="37"/>
      <c r="G6" s="37"/>
      <c r="H6" s="37"/>
      <c r="I6" s="37"/>
      <c r="J6" s="37"/>
      <c r="K6" s="37"/>
      <c r="L6" s="37"/>
      <c r="M6" s="37"/>
      <c r="N6" s="37"/>
      <c r="O6" s="37"/>
      <c r="P6" s="37"/>
      <c r="Q6" s="37"/>
      <c r="R6" s="37"/>
      <c r="S6" s="37"/>
      <c r="T6" s="37"/>
      <c r="U6" s="37"/>
      <c r="V6" s="37"/>
      <c r="W6" s="37"/>
      <c r="X6" s="37"/>
      <c r="Y6" s="37"/>
      <c r="Z6" s="37"/>
      <c r="AB6" s="24"/>
      <c r="AC6" s="24"/>
      <c r="AD6" s="24"/>
    </row>
    <row r="7" spans="1:41" ht="19.899999999999999" customHeight="1">
      <c r="A7" s="37"/>
      <c r="B7" s="37"/>
      <c r="C7" s="37"/>
      <c r="D7" s="37"/>
      <c r="E7" s="37"/>
      <c r="F7" s="37"/>
      <c r="G7" s="37"/>
      <c r="H7" s="37"/>
      <c r="I7" s="37"/>
      <c r="J7" s="37"/>
      <c r="K7" s="37"/>
      <c r="L7" s="37"/>
      <c r="M7" s="37"/>
      <c r="N7" s="37"/>
      <c r="O7" s="37"/>
      <c r="P7" s="37"/>
      <c r="Q7" s="37"/>
      <c r="R7" s="37"/>
      <c r="S7" s="37"/>
      <c r="T7" s="37"/>
      <c r="U7" s="37"/>
      <c r="V7" s="37"/>
      <c r="W7" s="37"/>
      <c r="X7" s="37"/>
      <c r="Y7" s="37"/>
      <c r="Z7" s="37"/>
      <c r="AB7" s="24"/>
      <c r="AC7" s="24"/>
      <c r="AD7" s="24"/>
    </row>
    <row r="8" spans="1:41" ht="16.899999999999999" customHeight="1">
      <c r="A8" s="644"/>
      <c r="B8" s="644"/>
      <c r="C8" s="644"/>
      <c r="D8" s="644"/>
      <c r="E8" s="644"/>
      <c r="F8" s="644"/>
      <c r="G8" s="644"/>
      <c r="H8" s="644"/>
      <c r="I8" s="644"/>
      <c r="J8" s="644"/>
      <c r="K8" s="644"/>
      <c r="L8" s="644"/>
      <c r="M8" s="644"/>
      <c r="N8" s="644"/>
      <c r="O8" s="644"/>
      <c r="P8" s="644"/>
      <c r="Q8" s="644"/>
      <c r="R8" s="644"/>
      <c r="S8" s="644"/>
      <c r="T8" s="644"/>
      <c r="U8" s="644"/>
      <c r="V8" s="644"/>
      <c r="W8" s="644"/>
      <c r="X8" s="644"/>
      <c r="Y8" s="644"/>
      <c r="Z8" s="644"/>
      <c r="AA8" s="644"/>
      <c r="AB8" s="644"/>
      <c r="AC8" s="644"/>
      <c r="AD8" s="644"/>
      <c r="AE8" s="644"/>
      <c r="AF8" s="644"/>
      <c r="AG8" s="644"/>
      <c r="AH8" s="44"/>
    </row>
    <row r="9" spans="1:41" ht="24" customHeight="1">
      <c r="A9" s="40" t="s">
        <v>2</v>
      </c>
      <c r="B9" s="48"/>
      <c r="C9" s="48"/>
      <c r="D9" s="48"/>
      <c r="E9" s="48"/>
      <c r="F9" s="48"/>
      <c r="G9" s="48"/>
      <c r="H9" s="48"/>
      <c r="I9" s="48"/>
      <c r="J9" s="48"/>
      <c r="K9" s="48"/>
      <c r="L9" s="48"/>
      <c r="M9" s="48"/>
      <c r="N9" s="48"/>
      <c r="O9" s="48"/>
      <c r="P9" s="48"/>
      <c r="Q9" s="48"/>
      <c r="R9" s="48"/>
      <c r="S9" s="48"/>
      <c r="T9" s="48"/>
      <c r="U9" s="48"/>
      <c r="V9" s="48"/>
      <c r="W9" s="48"/>
      <c r="X9" s="48"/>
      <c r="Y9" s="48"/>
      <c r="Z9" s="48"/>
      <c r="AA9" s="48"/>
      <c r="AB9"/>
      <c r="AC9"/>
      <c r="AD9"/>
    </row>
    <row r="10" spans="1:41" ht="18.600000000000001" customHeight="1">
      <c r="A10" s="586" t="s">
        <v>2486</v>
      </c>
      <c r="C10" s="48"/>
      <c r="D10" s="48"/>
      <c r="E10" s="48"/>
      <c r="F10" s="48"/>
      <c r="G10" s="48"/>
      <c r="H10" s="48"/>
      <c r="I10" s="48"/>
      <c r="J10" s="48"/>
      <c r="K10" s="48"/>
      <c r="L10" s="48"/>
      <c r="M10" s="48"/>
      <c r="N10" s="48"/>
      <c r="O10" s="48"/>
      <c r="P10" s="48"/>
      <c r="Q10" s="48"/>
      <c r="R10" s="48"/>
      <c r="S10" s="48"/>
      <c r="T10" s="48"/>
      <c r="U10" s="48"/>
      <c r="V10" s="48"/>
      <c r="W10" s="48"/>
      <c r="X10" s="48"/>
      <c r="Y10" s="48"/>
      <c r="Z10" s="48"/>
      <c r="AA10" s="48"/>
      <c r="AB10"/>
      <c r="AC10"/>
      <c r="AD10"/>
    </row>
    <row r="11" spans="1:41" ht="19.899999999999999" customHeight="1">
      <c r="A11" s="48" t="s">
        <v>3</v>
      </c>
      <c r="B11" s="82"/>
      <c r="C11" s="677" t="s">
        <v>4</v>
      </c>
      <c r="D11" s="678"/>
      <c r="E11" s="678"/>
      <c r="F11" s="678"/>
      <c r="G11" s="678"/>
      <c r="H11" s="678"/>
      <c r="I11" s="678"/>
      <c r="J11" s="678"/>
      <c r="K11" s="678"/>
      <c r="L11" s="678"/>
      <c r="M11" s="678"/>
      <c r="N11" s="678"/>
      <c r="O11" s="678"/>
      <c r="P11" s="678"/>
      <c r="Q11" s="678"/>
      <c r="R11" s="679"/>
      <c r="S11" s="48"/>
      <c r="T11" s="48"/>
      <c r="U11" s="48"/>
      <c r="V11" s="48"/>
      <c r="W11" s="48"/>
      <c r="X11" s="48"/>
      <c r="Y11" s="48"/>
      <c r="Z11" s="48"/>
      <c r="AA11" s="48"/>
      <c r="AB11"/>
      <c r="AC11"/>
      <c r="AD11"/>
    </row>
    <row r="12" spans="1:41" ht="13.15" customHeight="1">
      <c r="A12" s="37"/>
      <c r="B12" s="37"/>
      <c r="C12"/>
      <c r="D12" s="37"/>
      <c r="E12"/>
      <c r="F12" s="37"/>
      <c r="G12" s="37"/>
      <c r="H12" s="37"/>
      <c r="I12" s="37"/>
      <c r="J12" s="37"/>
      <c r="K12" s="37"/>
      <c r="L12" s="37"/>
      <c r="M12" s="37"/>
      <c r="N12" s="37"/>
      <c r="O12" s="37"/>
      <c r="P12" s="37"/>
      <c r="Q12" s="37"/>
      <c r="R12" s="37"/>
      <c r="S12" s="37"/>
      <c r="T12" s="37"/>
      <c r="U12" s="37"/>
      <c r="V12" s="37"/>
      <c r="W12" s="37"/>
      <c r="X12" s="37"/>
      <c r="Y12" s="37"/>
      <c r="Z12"/>
      <c r="AB12" s="47"/>
      <c r="AC12" s="47"/>
      <c r="AD12" s="47"/>
    </row>
    <row r="13" spans="1:41" s="41" customFormat="1" ht="20.100000000000001" customHeight="1">
      <c r="A13" s="40" t="s">
        <v>5</v>
      </c>
      <c r="B13" s="37"/>
      <c r="C13" s="37"/>
      <c r="D13" s="37"/>
      <c r="E13" s="37"/>
      <c r="F13" s="37"/>
      <c r="G13" s="37"/>
      <c r="H13" s="37"/>
      <c r="I13" s="37"/>
      <c r="J13" s="37"/>
      <c r="K13" s="37"/>
      <c r="L13" s="37"/>
      <c r="M13" s="37"/>
      <c r="N13" s="37"/>
      <c r="O13" s="37"/>
      <c r="P13" s="37"/>
      <c r="Q13" s="37"/>
      <c r="R13" s="37"/>
      <c r="S13" s="37"/>
      <c r="T13" s="37"/>
      <c r="U13" s="37"/>
      <c r="V13" s="37"/>
      <c r="W13" s="37"/>
      <c r="X13" s="37"/>
      <c r="Y13" s="37"/>
      <c r="Z13" s="37"/>
      <c r="AA13" s="24"/>
      <c r="AB13" s="24"/>
      <c r="AC13" s="24"/>
      <c r="AD13" s="24"/>
      <c r="AE13" s="24"/>
      <c r="AF13" s="24"/>
    </row>
    <row r="14" spans="1:41" s="41" customFormat="1" ht="15.6" customHeight="1">
      <c r="A14" s="671" t="s">
        <v>6</v>
      </c>
      <c r="B14" s="671"/>
      <c r="C14" s="671"/>
      <c r="D14" s="671"/>
      <c r="E14" s="671"/>
      <c r="F14" s="671"/>
      <c r="G14" s="671"/>
      <c r="H14" s="671"/>
      <c r="I14" s="671"/>
      <c r="J14" s="671"/>
      <c r="K14" s="671"/>
      <c r="L14" s="671"/>
      <c r="M14" s="671"/>
      <c r="N14" s="671"/>
      <c r="O14" s="671"/>
      <c r="P14" s="671"/>
      <c r="Q14" s="671"/>
      <c r="R14" s="671"/>
      <c r="S14" s="671"/>
      <c r="T14" s="671"/>
      <c r="U14" s="671"/>
      <c r="V14" s="671"/>
      <c r="W14" s="671"/>
      <c r="X14" s="671"/>
      <c r="Y14" s="671"/>
      <c r="Z14" s="671"/>
      <c r="AA14" s="671"/>
      <c r="AB14" s="24"/>
      <c r="AC14" s="24"/>
      <c r="AD14" s="24"/>
      <c r="AE14" s="24"/>
      <c r="AF14" s="24"/>
    </row>
    <row r="15" spans="1:41" ht="20.100000000000001" customHeight="1">
      <c r="A15" s="675" t="s">
        <v>7</v>
      </c>
      <c r="B15" s="656" t="s">
        <v>8</v>
      </c>
      <c r="C15" s="656"/>
      <c r="D15" s="656"/>
      <c r="E15" s="656"/>
      <c r="F15" s="656"/>
      <c r="G15" s="656"/>
      <c r="H15" s="656"/>
      <c r="I15" s="656"/>
      <c r="J15" s="656"/>
      <c r="K15" s="656"/>
      <c r="L15" s="680" t="s">
        <v>2390</v>
      </c>
      <c r="M15" s="681"/>
      <c r="N15" s="681"/>
      <c r="O15" s="681"/>
      <c r="P15" s="681"/>
      <c r="Q15" s="681"/>
      <c r="R15" s="681"/>
      <c r="S15" s="681"/>
      <c r="T15" s="681"/>
      <c r="U15" s="681"/>
      <c r="V15" s="681"/>
      <c r="W15" s="681"/>
      <c r="X15" s="681"/>
      <c r="Y15" s="681"/>
      <c r="Z15" s="681"/>
      <c r="AA15" s="681"/>
      <c r="AB15" s="681"/>
      <c r="AC15" s="681"/>
      <c r="AD15" s="681"/>
      <c r="AE15" s="681"/>
      <c r="AF15" s="682"/>
    </row>
    <row r="16" spans="1:41" ht="20.100000000000001" customHeight="1">
      <c r="A16" s="676"/>
      <c r="B16" s="656" t="s">
        <v>9</v>
      </c>
      <c r="C16" s="656"/>
      <c r="D16" s="656"/>
      <c r="E16" s="656"/>
      <c r="F16" s="656"/>
      <c r="G16" s="656"/>
      <c r="H16" s="656"/>
      <c r="I16" s="656"/>
      <c r="J16" s="656"/>
      <c r="K16" s="656"/>
      <c r="L16" s="680" t="s">
        <v>2391</v>
      </c>
      <c r="M16" s="681"/>
      <c r="N16" s="681"/>
      <c r="O16" s="681"/>
      <c r="P16" s="681"/>
      <c r="Q16" s="681"/>
      <c r="R16" s="681"/>
      <c r="S16" s="681"/>
      <c r="T16" s="681"/>
      <c r="U16" s="681"/>
      <c r="V16" s="681"/>
      <c r="W16" s="681"/>
      <c r="X16" s="681"/>
      <c r="Y16" s="681"/>
      <c r="Z16" s="681"/>
      <c r="AA16" s="681"/>
      <c r="AB16" s="681"/>
      <c r="AC16" s="681"/>
      <c r="AD16" s="681"/>
      <c r="AE16" s="681"/>
      <c r="AF16" s="682"/>
    </row>
    <row r="17" spans="1:41" ht="20.100000000000001" customHeight="1">
      <c r="A17" s="661" t="s">
        <v>10</v>
      </c>
      <c r="B17" s="656" t="s">
        <v>11</v>
      </c>
      <c r="C17" s="656"/>
      <c r="D17" s="656"/>
      <c r="E17" s="656"/>
      <c r="F17" s="656"/>
      <c r="G17" s="656"/>
      <c r="H17" s="656"/>
      <c r="I17" s="656"/>
      <c r="J17" s="656"/>
      <c r="K17" s="656"/>
      <c r="L17" s="695" t="s">
        <v>12</v>
      </c>
      <c r="M17" s="696"/>
      <c r="N17" s="696"/>
      <c r="O17" s="697"/>
      <c r="P17" s="77" t="s">
        <v>13</v>
      </c>
      <c r="Q17" s="698" t="s">
        <v>2392</v>
      </c>
      <c r="R17" s="699"/>
      <c r="S17" s="699"/>
      <c r="T17" s="699"/>
      <c r="U17" s="700"/>
      <c r="V17" s="37"/>
      <c r="W17" s="37"/>
      <c r="X17" s="37"/>
      <c r="Y17" s="37"/>
      <c r="Z17" s="37"/>
      <c r="AB17" s="24"/>
      <c r="AC17" s="24"/>
      <c r="AD17" s="24"/>
      <c r="AO17" s="27" t="s">
        <v>14</v>
      </c>
    </row>
    <row r="18" spans="1:41" ht="44.25" customHeight="1">
      <c r="A18" s="686"/>
      <c r="B18" s="687" t="s">
        <v>15</v>
      </c>
      <c r="C18" s="687"/>
      <c r="D18" s="687"/>
      <c r="E18" s="687"/>
      <c r="F18" s="687"/>
      <c r="G18" s="687"/>
      <c r="H18" s="687"/>
      <c r="I18" s="687"/>
      <c r="J18" s="687"/>
      <c r="K18" s="687"/>
      <c r="L18" s="680" t="s">
        <v>2393</v>
      </c>
      <c r="M18" s="681"/>
      <c r="N18" s="681"/>
      <c r="O18" s="681"/>
      <c r="P18" s="681"/>
      <c r="Q18" s="681"/>
      <c r="R18" s="681"/>
      <c r="S18" s="681"/>
      <c r="T18" s="681"/>
      <c r="U18" s="681"/>
      <c r="V18" s="681"/>
      <c r="W18" s="681"/>
      <c r="X18" s="681"/>
      <c r="Y18" s="681"/>
      <c r="Z18" s="681"/>
      <c r="AA18" s="681"/>
      <c r="AB18" s="681"/>
      <c r="AC18" s="681"/>
      <c r="AD18" s="681"/>
      <c r="AE18" s="681"/>
      <c r="AF18" s="682"/>
      <c r="AO18" s="27" t="str">
        <f>L17&amp;"-"&amp;Q17</f>
        <v>100-１２３４</v>
      </c>
    </row>
    <row r="19" spans="1:41" ht="38.25" customHeight="1">
      <c r="A19" s="662"/>
      <c r="B19" s="687" t="s">
        <v>16</v>
      </c>
      <c r="C19" s="687"/>
      <c r="D19" s="687"/>
      <c r="E19" s="687"/>
      <c r="F19" s="687"/>
      <c r="G19" s="687"/>
      <c r="H19" s="687"/>
      <c r="I19" s="687"/>
      <c r="J19" s="687"/>
      <c r="K19" s="687"/>
      <c r="L19" s="683" t="s">
        <v>17</v>
      </c>
      <c r="M19" s="684"/>
      <c r="N19" s="684"/>
      <c r="O19" s="684"/>
      <c r="P19" s="684"/>
      <c r="Q19" s="684"/>
      <c r="R19" s="684"/>
      <c r="S19" s="684"/>
      <c r="T19" s="684"/>
      <c r="U19" s="684"/>
      <c r="V19" s="684"/>
      <c r="W19" s="684"/>
      <c r="X19" s="684"/>
      <c r="Y19" s="684"/>
      <c r="Z19" s="684"/>
      <c r="AA19" s="684"/>
      <c r="AB19" s="684"/>
      <c r="AC19" s="684"/>
      <c r="AD19" s="684"/>
      <c r="AE19" s="684"/>
      <c r="AF19" s="685"/>
    </row>
    <row r="20" spans="1:41" ht="30" customHeight="1">
      <c r="A20" s="665" t="s">
        <v>18</v>
      </c>
      <c r="B20" s="664" t="s">
        <v>19</v>
      </c>
      <c r="C20" s="656"/>
      <c r="D20" s="656"/>
      <c r="E20" s="656"/>
      <c r="F20" s="656"/>
      <c r="G20" s="656"/>
      <c r="H20" s="656"/>
      <c r="I20" s="656"/>
      <c r="J20" s="656"/>
      <c r="K20" s="656"/>
      <c r="L20" s="653" t="s">
        <v>20</v>
      </c>
      <c r="M20" s="654"/>
      <c r="N20" s="654"/>
      <c r="O20" s="654"/>
      <c r="P20" s="654"/>
      <c r="Q20" s="654"/>
      <c r="R20" s="654"/>
      <c r="S20" s="654"/>
      <c r="T20" s="654"/>
      <c r="U20" s="654"/>
      <c r="V20" s="654"/>
      <c r="W20" s="654"/>
      <c r="X20" s="654"/>
      <c r="Y20" s="654"/>
      <c r="Z20" s="654"/>
      <c r="AA20" s="654"/>
      <c r="AB20" s="654"/>
      <c r="AC20" s="654"/>
      <c r="AD20" s="654"/>
      <c r="AE20" s="654"/>
      <c r="AF20" s="655"/>
    </row>
    <row r="21" spans="1:41" ht="19.5" customHeight="1">
      <c r="A21" s="666"/>
      <c r="B21" s="663" t="s">
        <v>21</v>
      </c>
      <c r="C21" s="663"/>
      <c r="D21" s="663"/>
      <c r="E21" s="663"/>
      <c r="F21" s="663"/>
      <c r="G21" s="663"/>
      <c r="H21" s="663"/>
      <c r="I21" s="663"/>
      <c r="J21" s="663"/>
      <c r="K21" s="664"/>
      <c r="L21" s="653" t="s">
        <v>24</v>
      </c>
      <c r="M21" s="654"/>
      <c r="N21" s="654"/>
      <c r="O21" s="654"/>
      <c r="P21" s="654"/>
      <c r="Q21" s="654"/>
      <c r="R21" s="654"/>
      <c r="S21" s="654"/>
      <c r="T21" s="654"/>
      <c r="U21" s="654"/>
      <c r="V21" s="654"/>
      <c r="W21" s="654"/>
      <c r="X21" s="654"/>
      <c r="Y21" s="654"/>
      <c r="Z21" s="654"/>
      <c r="AA21" s="654"/>
      <c r="AB21" s="654"/>
      <c r="AC21" s="654"/>
      <c r="AD21" s="654"/>
      <c r="AE21" s="654"/>
      <c r="AF21" s="655"/>
    </row>
    <row r="22" spans="1:41" ht="20.100000000000001" customHeight="1">
      <c r="A22" s="672" t="s">
        <v>22</v>
      </c>
      <c r="B22" s="673"/>
      <c r="C22" s="673"/>
      <c r="D22" s="673"/>
      <c r="E22" s="673"/>
      <c r="F22" s="673"/>
      <c r="G22" s="673"/>
      <c r="H22" s="673"/>
      <c r="I22" s="673"/>
      <c r="J22" s="673"/>
      <c r="K22" s="674"/>
      <c r="L22" s="701" t="s">
        <v>2394</v>
      </c>
      <c r="M22" s="702"/>
      <c r="N22" s="702"/>
      <c r="O22" s="702"/>
      <c r="P22" s="702"/>
      <c r="Q22" s="702"/>
      <c r="R22" s="702"/>
      <c r="S22" s="702"/>
      <c r="T22" s="702"/>
      <c r="U22" s="702"/>
      <c r="V22" s="703"/>
      <c r="W22" s="38"/>
      <c r="X22" s="38"/>
      <c r="Y22" s="38"/>
      <c r="Z22" s="38"/>
      <c r="AA22" s="39"/>
      <c r="AB22" s="39"/>
      <c r="AC22" s="39"/>
      <c r="AD22" s="39"/>
      <c r="AE22" s="39"/>
      <c r="AF22" s="39"/>
      <c r="AI22" s="12"/>
    </row>
    <row r="23" spans="1:41" ht="20.100000000000001" customHeight="1">
      <c r="A23" s="659" t="s">
        <v>23</v>
      </c>
      <c r="B23" s="656" t="s">
        <v>8</v>
      </c>
      <c r="C23" s="656"/>
      <c r="D23" s="656"/>
      <c r="E23" s="656"/>
      <c r="F23" s="656"/>
      <c r="G23" s="656"/>
      <c r="H23" s="656"/>
      <c r="I23" s="656"/>
      <c r="J23" s="656"/>
      <c r="K23" s="656"/>
      <c r="L23" s="653" t="s">
        <v>2395</v>
      </c>
      <c r="M23" s="654"/>
      <c r="N23" s="654"/>
      <c r="O23" s="654"/>
      <c r="P23" s="654"/>
      <c r="Q23" s="654"/>
      <c r="R23" s="654"/>
      <c r="S23" s="654"/>
      <c r="T23" s="654"/>
      <c r="U23" s="654"/>
      <c r="V23" s="654"/>
      <c r="W23" s="654"/>
      <c r="X23" s="655"/>
      <c r="Y23" s="38"/>
      <c r="Z23" s="38"/>
      <c r="AA23" s="39"/>
      <c r="AB23" s="39"/>
      <c r="AC23" s="39"/>
      <c r="AD23" s="39"/>
      <c r="AE23" s="39"/>
      <c r="AF23" s="39"/>
    </row>
    <row r="24" spans="1:41" ht="20.100000000000001" customHeight="1">
      <c r="A24" s="660"/>
      <c r="B24" s="670" t="s">
        <v>21</v>
      </c>
      <c r="C24" s="670"/>
      <c r="D24" s="670"/>
      <c r="E24" s="670"/>
      <c r="F24" s="670"/>
      <c r="G24" s="670"/>
      <c r="H24" s="670"/>
      <c r="I24" s="670"/>
      <c r="J24" s="670"/>
      <c r="K24" s="670"/>
      <c r="L24" s="653" t="s">
        <v>2396</v>
      </c>
      <c r="M24" s="654"/>
      <c r="N24" s="654"/>
      <c r="O24" s="654"/>
      <c r="P24" s="654"/>
      <c r="Q24" s="654"/>
      <c r="R24" s="654"/>
      <c r="S24" s="654"/>
      <c r="T24" s="654"/>
      <c r="U24" s="654"/>
      <c r="V24" s="654"/>
      <c r="W24" s="654"/>
      <c r="X24" s="655"/>
      <c r="Y24" s="38"/>
      <c r="Z24" s="38"/>
      <c r="AA24" s="39"/>
      <c r="AB24" s="39"/>
      <c r="AC24" s="39"/>
      <c r="AD24" s="39"/>
      <c r="AE24" s="39"/>
      <c r="AF24" s="39"/>
    </row>
    <row r="25" spans="1:41" ht="20.100000000000001" customHeight="1">
      <c r="A25" s="661" t="s">
        <v>25</v>
      </c>
      <c r="B25" s="656" t="s">
        <v>26</v>
      </c>
      <c r="C25" s="656"/>
      <c r="D25" s="656"/>
      <c r="E25" s="656"/>
      <c r="F25" s="656"/>
      <c r="G25" s="656"/>
      <c r="H25" s="656"/>
      <c r="I25" s="656"/>
      <c r="J25" s="656"/>
      <c r="K25" s="656"/>
      <c r="L25" s="653" t="s">
        <v>2397</v>
      </c>
      <c r="M25" s="654"/>
      <c r="N25" s="654"/>
      <c r="O25" s="654"/>
      <c r="P25" s="654"/>
      <c r="Q25" s="654"/>
      <c r="R25" s="654"/>
      <c r="S25" s="654"/>
      <c r="T25" s="654"/>
      <c r="U25" s="654"/>
      <c r="V25" s="654"/>
      <c r="W25" s="654"/>
      <c r="X25" s="655"/>
      <c r="Y25" s="38"/>
      <c r="Z25" s="38"/>
      <c r="AA25" s="39"/>
      <c r="AB25" s="39"/>
      <c r="AC25" s="39"/>
      <c r="AD25" s="39"/>
      <c r="AE25" s="39"/>
      <c r="AF25" s="39"/>
    </row>
    <row r="26" spans="1:41" ht="20.100000000000001" customHeight="1">
      <c r="A26" s="662"/>
      <c r="B26" s="656" t="s">
        <v>27</v>
      </c>
      <c r="C26" s="656"/>
      <c r="D26" s="656"/>
      <c r="E26" s="656"/>
      <c r="F26" s="656"/>
      <c r="G26" s="656"/>
      <c r="H26" s="656"/>
      <c r="I26" s="656"/>
      <c r="J26" s="656"/>
      <c r="K26" s="656"/>
      <c r="L26" s="667" t="s">
        <v>2398</v>
      </c>
      <c r="M26" s="668"/>
      <c r="N26" s="668"/>
      <c r="O26" s="668"/>
      <c r="P26" s="668"/>
      <c r="Q26" s="668"/>
      <c r="R26" s="668"/>
      <c r="S26" s="668"/>
      <c r="T26" s="668"/>
      <c r="U26" s="668"/>
      <c r="V26" s="668"/>
      <c r="W26" s="668"/>
      <c r="X26" s="669"/>
      <c r="Y26" s="38"/>
      <c r="Z26" s="38"/>
      <c r="AA26" s="39"/>
      <c r="AB26" s="39"/>
      <c r="AC26" s="39"/>
      <c r="AD26" s="39"/>
      <c r="AE26" s="39"/>
      <c r="AF26" s="39"/>
    </row>
    <row r="27" spans="1:41" ht="13.9" customHeight="1">
      <c r="B27" s="37"/>
      <c r="C27" s="37"/>
      <c r="D27" s="37"/>
      <c r="E27" s="37"/>
      <c r="F27" s="37"/>
      <c r="G27" s="37"/>
      <c r="H27" s="37"/>
      <c r="I27" s="37"/>
      <c r="J27" s="93"/>
      <c r="K27" s="93"/>
      <c r="L27" s="94"/>
      <c r="M27" s="95"/>
      <c r="N27" s="95"/>
      <c r="O27" s="95"/>
      <c r="P27" s="95"/>
      <c r="Q27" s="95"/>
      <c r="R27" s="95"/>
      <c r="S27" s="95"/>
      <c r="T27" s="95"/>
      <c r="U27" s="95"/>
      <c r="V27" s="95"/>
      <c r="W27" s="95"/>
      <c r="X27" s="95"/>
      <c r="Y27" s="38"/>
      <c r="Z27" s="38"/>
      <c r="AA27" s="39"/>
      <c r="AB27" s="39"/>
      <c r="AC27" s="39"/>
      <c r="AD27" s="39"/>
      <c r="AE27" s="39"/>
      <c r="AF27" s="39"/>
    </row>
    <row r="28" spans="1:41" s="41" customFormat="1" ht="20.100000000000001" customHeight="1">
      <c r="A28" s="40" t="s">
        <v>28</v>
      </c>
      <c r="B28" s="37"/>
      <c r="C28" s="37"/>
      <c r="D28" s="37"/>
      <c r="E28" s="37"/>
      <c r="F28" s="37"/>
      <c r="G28" s="37"/>
      <c r="H28" s="37"/>
      <c r="I28" s="37"/>
      <c r="J28" s="37"/>
      <c r="K28" s="37"/>
      <c r="L28" s="96"/>
      <c r="M28" s="96"/>
      <c r="N28" s="96"/>
      <c r="O28" s="96"/>
      <c r="P28" s="96"/>
      <c r="Q28" s="96"/>
      <c r="R28" s="96"/>
      <c r="S28" s="96"/>
      <c r="T28" s="96"/>
      <c r="U28" s="96"/>
      <c r="V28" s="96"/>
      <c r="W28" s="96"/>
      <c r="X28" s="96"/>
      <c r="Y28" s="37"/>
      <c r="Z28" s="37"/>
      <c r="AA28" s="24"/>
      <c r="AB28" s="24"/>
      <c r="AC28" s="24"/>
      <c r="AD28" s="24"/>
      <c r="AE28" s="24"/>
      <c r="AF28" s="24"/>
    </row>
    <row r="29" spans="1:41" s="41" customFormat="1" ht="20.100000000000001" customHeight="1">
      <c r="A29" s="48" t="s">
        <v>29</v>
      </c>
      <c r="B29" s="37"/>
      <c r="C29" s="37"/>
      <c r="D29" s="37"/>
      <c r="E29" s="37"/>
      <c r="F29" s="37"/>
      <c r="G29" s="37"/>
      <c r="H29" s="37"/>
      <c r="I29" s="37"/>
      <c r="J29" s="37"/>
      <c r="K29" s="37"/>
      <c r="L29" s="37"/>
      <c r="M29" s="37"/>
      <c r="N29" s="37"/>
      <c r="O29" s="37"/>
      <c r="P29" s="37"/>
      <c r="Q29" s="37"/>
      <c r="R29" s="37"/>
      <c r="S29" s="37"/>
      <c r="T29" s="37"/>
      <c r="U29" s="37"/>
      <c r="V29" s="37"/>
      <c r="W29" s="49"/>
      <c r="X29" s="37"/>
      <c r="Y29" s="37"/>
      <c r="Z29" s="37"/>
      <c r="AA29" s="24"/>
      <c r="AB29" s="24"/>
      <c r="AC29" s="24"/>
      <c r="AD29" s="24"/>
      <c r="AE29" s="24"/>
      <c r="AF29" s="24"/>
    </row>
    <row r="30" spans="1:41" s="41" customFormat="1" ht="107.45" customHeight="1" thickBot="1">
      <c r="A30" s="644" t="s">
        <v>2219</v>
      </c>
      <c r="B30" s="644"/>
      <c r="C30" s="644"/>
      <c r="D30" s="644"/>
      <c r="E30" s="644"/>
      <c r="F30" s="644"/>
      <c r="G30" s="644"/>
      <c r="H30" s="644"/>
      <c r="I30" s="644"/>
      <c r="J30" s="644"/>
      <c r="K30" s="644"/>
      <c r="L30" s="644"/>
      <c r="M30" s="644"/>
      <c r="N30" s="644"/>
      <c r="O30" s="644"/>
      <c r="P30" s="644"/>
      <c r="Q30" s="644"/>
      <c r="R30" s="644"/>
      <c r="S30" s="644"/>
      <c r="T30" s="644"/>
      <c r="U30" s="644"/>
      <c r="V30" s="644"/>
      <c r="W30" s="644"/>
      <c r="X30" s="644"/>
      <c r="Y30" s="644"/>
      <c r="Z30" s="644"/>
      <c r="AA30" s="644"/>
      <c r="AB30" s="644"/>
      <c r="AC30" s="644"/>
      <c r="AD30" s="644"/>
      <c r="AE30" s="644"/>
      <c r="AF30" s="644"/>
      <c r="AG30" s="644"/>
    </row>
    <row r="31" spans="1:41" s="41" customFormat="1" ht="23.45" customHeight="1" thickBot="1">
      <c r="A31" s="647" t="s">
        <v>2220</v>
      </c>
      <c r="B31" s="647"/>
      <c r="C31" s="647"/>
      <c r="D31" s="647"/>
      <c r="E31" s="647"/>
      <c r="F31" s="647"/>
      <c r="G31" s="647"/>
      <c r="H31" s="647"/>
      <c r="I31" s="647"/>
      <c r="J31" s="647"/>
      <c r="K31" s="647"/>
      <c r="L31" s="647"/>
      <c r="M31" s="647"/>
      <c r="N31" s="647"/>
      <c r="O31" s="647"/>
      <c r="P31" s="647"/>
      <c r="Q31" s="647"/>
      <c r="R31" s="647"/>
      <c r="S31" s="647"/>
      <c r="T31" s="647"/>
      <c r="U31" s="647"/>
      <c r="V31" s="647"/>
      <c r="W31" s="647"/>
      <c r="X31" s="647"/>
      <c r="Y31" s="647"/>
      <c r="Z31" s="647"/>
      <c r="AA31" s="647"/>
      <c r="AB31" s="647"/>
      <c r="AC31" s="647"/>
      <c r="AD31" s="647"/>
      <c r="AE31" s="647"/>
      <c r="AF31" s="648"/>
      <c r="AG31" s="105"/>
    </row>
    <row r="32" spans="1:41" s="41" customFormat="1" ht="18">
      <c r="A32" s="103"/>
      <c r="B32" s="103"/>
      <c r="C32" s="103"/>
      <c r="D32" s="103"/>
      <c r="E32" s="103"/>
      <c r="F32" s="103"/>
      <c r="G32" s="103"/>
      <c r="H32" s="103"/>
      <c r="I32" s="103"/>
      <c r="J32" s="103"/>
      <c r="K32" s="103"/>
      <c r="L32" s="103"/>
      <c r="M32" s="103"/>
      <c r="N32" s="103"/>
      <c r="O32" s="103"/>
      <c r="P32" s="103"/>
      <c r="Q32" s="103"/>
      <c r="R32" s="103"/>
      <c r="S32" s="103"/>
      <c r="T32" s="103"/>
      <c r="U32" s="103"/>
      <c r="V32" s="103"/>
      <c r="Y32" s="87"/>
      <c r="Z32" s="87"/>
      <c r="AA32" s="87"/>
      <c r="AB32" s="87"/>
      <c r="AC32" s="87"/>
      <c r="AD32" s="87"/>
      <c r="AE32" s="87"/>
      <c r="AF32" s="87"/>
      <c r="AG32" s="87"/>
    </row>
    <row r="33" spans="1:43" s="41" customFormat="1" ht="25.9" customHeight="1">
      <c r="A33" s="712" t="s">
        <v>31</v>
      </c>
      <c r="B33" s="688" t="s">
        <v>2221</v>
      </c>
      <c r="C33" s="689"/>
      <c r="D33" s="689"/>
      <c r="E33" s="689"/>
      <c r="F33" s="689"/>
      <c r="G33" s="689"/>
      <c r="H33" s="689"/>
      <c r="I33" s="689"/>
      <c r="J33" s="689"/>
      <c r="K33" s="690"/>
      <c r="L33" s="688" t="s">
        <v>32</v>
      </c>
      <c r="M33" s="689"/>
      <c r="N33" s="689"/>
      <c r="O33" s="689"/>
      <c r="P33" s="690"/>
      <c r="Q33" s="714" t="s">
        <v>33</v>
      </c>
      <c r="R33" s="715"/>
      <c r="S33" s="715"/>
      <c r="T33" s="715"/>
      <c r="U33" s="715"/>
      <c r="V33" s="716"/>
      <c r="W33" s="649" t="s">
        <v>34</v>
      </c>
      <c r="X33" s="649"/>
      <c r="Y33" s="649"/>
      <c r="Z33" s="649" t="s">
        <v>35</v>
      </c>
      <c r="AA33" s="649"/>
      <c r="AB33" s="649"/>
      <c r="AC33" s="710" t="s">
        <v>36</v>
      </c>
      <c r="AD33" s="642" t="s">
        <v>2222</v>
      </c>
      <c r="AE33" s="717" t="s">
        <v>2223</v>
      </c>
      <c r="AF33" s="645" t="s">
        <v>2224</v>
      </c>
      <c r="AG33" s="691"/>
      <c r="AH33"/>
      <c r="AI33"/>
      <c r="AJ33"/>
      <c r="AK33"/>
      <c r="AL33"/>
      <c r="AM33"/>
      <c r="AN33"/>
    </row>
    <row r="34" spans="1:43" s="41" customFormat="1" ht="47.45" customHeight="1" thickBot="1">
      <c r="A34" s="713"/>
      <c r="B34" s="691"/>
      <c r="C34" s="692"/>
      <c r="D34" s="692"/>
      <c r="E34" s="692"/>
      <c r="F34" s="692"/>
      <c r="G34" s="692"/>
      <c r="H34" s="692"/>
      <c r="I34" s="692"/>
      <c r="J34" s="692"/>
      <c r="K34" s="693"/>
      <c r="L34" s="691"/>
      <c r="M34" s="692"/>
      <c r="N34" s="692"/>
      <c r="O34" s="692"/>
      <c r="P34" s="693"/>
      <c r="Q34" s="642" t="s">
        <v>37</v>
      </c>
      <c r="R34" s="661"/>
      <c r="S34" s="661"/>
      <c r="T34" s="661"/>
      <c r="U34" s="661"/>
      <c r="V34" s="289" t="s">
        <v>38</v>
      </c>
      <c r="W34" s="642"/>
      <c r="X34" s="642"/>
      <c r="Y34" s="642"/>
      <c r="Z34" s="642"/>
      <c r="AA34" s="642"/>
      <c r="AB34" s="642"/>
      <c r="AC34" s="711"/>
      <c r="AD34" s="643"/>
      <c r="AE34" s="718"/>
      <c r="AF34" s="646"/>
      <c r="AG34" s="691"/>
      <c r="AH34"/>
      <c r="AI34"/>
      <c r="AJ34"/>
      <c r="AK34"/>
      <c r="AL34"/>
      <c r="AM34"/>
      <c r="AN34"/>
    </row>
    <row r="35" spans="1:43" ht="45" customHeight="1" thickBot="1">
      <c r="A35" s="50">
        <v>1</v>
      </c>
      <c r="B35" s="631" t="s">
        <v>2399</v>
      </c>
      <c r="C35" s="632"/>
      <c r="D35" s="632"/>
      <c r="E35" s="632"/>
      <c r="F35" s="632"/>
      <c r="G35" s="632"/>
      <c r="H35" s="632"/>
      <c r="I35" s="632"/>
      <c r="J35" s="632"/>
      <c r="K35" s="633"/>
      <c r="L35" s="704" t="s">
        <v>39</v>
      </c>
      <c r="M35" s="705"/>
      <c r="N35" s="705"/>
      <c r="O35" s="705"/>
      <c r="P35" s="706"/>
      <c r="Q35" s="694" t="s">
        <v>4</v>
      </c>
      <c r="R35" s="694"/>
      <c r="S35" s="694"/>
      <c r="T35" s="694"/>
      <c r="U35" s="694"/>
      <c r="V35" s="292" t="s">
        <v>436</v>
      </c>
      <c r="W35" s="719" t="s">
        <v>2405</v>
      </c>
      <c r="X35" s="720"/>
      <c r="Y35" s="721"/>
      <c r="Z35" s="650" t="s">
        <v>2273</v>
      </c>
      <c r="AA35" s="650"/>
      <c r="AB35" s="650"/>
      <c r="AC35" s="293" t="str">
        <f>IFERROR(VLOOKUP(Z35,【参考】数式用!$A$4:$B$57,2,FALSE),"")</f>
        <v>11</v>
      </c>
      <c r="AD35" s="620">
        <v>620000</v>
      </c>
      <c r="AE35" s="621">
        <v>282720</v>
      </c>
      <c r="AF35" s="291">
        <f>AD35-AE35</f>
        <v>337280</v>
      </c>
      <c r="AG35" s="527"/>
      <c r="AH35" s="51"/>
      <c r="AI35" s="51"/>
      <c r="AJ35" s="51"/>
      <c r="AK35" s="51"/>
      <c r="AL35" s="51"/>
      <c r="AM35" s="51"/>
      <c r="AN35" s="51"/>
      <c r="AP35" s="102" t="str">
        <f>IF($L$16="", "", VLOOKUP(Z35,【参考】数式用!$A$2:$O$57,14,FALSE))</f>
        <v>加算対象</v>
      </c>
      <c r="AQ35" s="27" t="str">
        <f>VLOOKUP(Z35,【参考】数式用!$A$2:$O$57,15,FALSE)</f>
        <v>その他</v>
      </c>
    </row>
    <row r="36" spans="1:43" ht="45" customHeight="1" thickBot="1">
      <c r="A36" s="50">
        <f>A35+1</f>
        <v>2</v>
      </c>
      <c r="B36" s="631" t="s">
        <v>2400</v>
      </c>
      <c r="C36" s="632"/>
      <c r="D36" s="632"/>
      <c r="E36" s="632"/>
      <c r="F36" s="632"/>
      <c r="G36" s="632"/>
      <c r="H36" s="632"/>
      <c r="I36" s="632"/>
      <c r="J36" s="632"/>
      <c r="K36" s="633"/>
      <c r="L36" s="634" t="s">
        <v>42</v>
      </c>
      <c r="M36" s="635"/>
      <c r="N36" s="635"/>
      <c r="O36" s="635"/>
      <c r="P36" s="636"/>
      <c r="Q36" s="637" t="s">
        <v>4</v>
      </c>
      <c r="R36" s="637"/>
      <c r="S36" s="637"/>
      <c r="T36" s="637"/>
      <c r="U36" s="637"/>
      <c r="V36" s="381" t="s">
        <v>1381</v>
      </c>
      <c r="W36" s="638" t="s">
        <v>2406</v>
      </c>
      <c r="X36" s="639"/>
      <c r="Y36" s="640"/>
      <c r="Z36" s="641" t="s">
        <v>2283</v>
      </c>
      <c r="AA36" s="641"/>
      <c r="AB36" s="641"/>
      <c r="AC36" s="112" t="str">
        <f>IFERROR(VLOOKUP(Z36,【参考】数式用!$A$4:$B$57,2,FALSE),"")</f>
        <v>22</v>
      </c>
      <c r="AD36" s="622">
        <v>4740000</v>
      </c>
      <c r="AE36" s="623">
        <v>374460</v>
      </c>
      <c r="AF36" s="291">
        <f t="shared" ref="AF36:AF100" si="0">AD36-AE36</f>
        <v>4365540</v>
      </c>
      <c r="AG36" s="527"/>
      <c r="AP36" s="102" t="str">
        <f>IF($L$16="", "", VLOOKUP(Z36,【参考】数式用!$A$2:$O$57,14,FALSE))</f>
        <v>加算対象</v>
      </c>
      <c r="AQ36" s="27" t="str">
        <f>VLOOKUP(Z36,【参考】数式用!$A$2:$O$57,15,FALSE)</f>
        <v>その他</v>
      </c>
    </row>
    <row r="37" spans="1:43" ht="49.9" customHeight="1" thickBot="1">
      <c r="A37" s="384">
        <f t="shared" ref="A37:A100" si="1">A36+1</f>
        <v>3</v>
      </c>
      <c r="B37" s="631" t="s">
        <v>2401</v>
      </c>
      <c r="C37" s="632"/>
      <c r="D37" s="632"/>
      <c r="E37" s="632"/>
      <c r="F37" s="632"/>
      <c r="G37" s="632"/>
      <c r="H37" s="632"/>
      <c r="I37" s="632"/>
      <c r="J37" s="632"/>
      <c r="K37" s="633"/>
      <c r="L37" s="634" t="s">
        <v>42</v>
      </c>
      <c r="M37" s="635"/>
      <c r="N37" s="635"/>
      <c r="O37" s="635"/>
      <c r="P37" s="636"/>
      <c r="Q37" s="637" t="s">
        <v>4</v>
      </c>
      <c r="R37" s="637"/>
      <c r="S37" s="637"/>
      <c r="T37" s="637"/>
      <c r="U37" s="637"/>
      <c r="V37" s="383" t="s">
        <v>529</v>
      </c>
      <c r="W37" s="638" t="s">
        <v>2407</v>
      </c>
      <c r="X37" s="639"/>
      <c r="Y37" s="640"/>
      <c r="Z37" s="641" t="s">
        <v>2305</v>
      </c>
      <c r="AA37" s="641"/>
      <c r="AB37" s="641"/>
      <c r="AC37" s="112" t="str">
        <f>IFERROR(VLOOKUP(Z37,【参考】数式用!$A$4:$B$57,2,FALSE),"")</f>
        <v>46</v>
      </c>
      <c r="AD37" s="622">
        <v>2370000</v>
      </c>
      <c r="AE37" s="623">
        <v>248850</v>
      </c>
      <c r="AF37" s="291">
        <f t="shared" si="0"/>
        <v>2121150</v>
      </c>
      <c r="AG37" s="527"/>
      <c r="AP37" s="102" t="str">
        <f>IF($L$16="", "", VLOOKUP(Z37,【参考】数式用!$A$2:$O$57,14,FALSE))</f>
        <v>加算対象</v>
      </c>
      <c r="AQ37" s="27" t="str">
        <f>VLOOKUP(Z37,【参考】数式用!$A$2:$O$57,15,FALSE)</f>
        <v>その他</v>
      </c>
    </row>
    <row r="38" spans="1:43" ht="49.9" customHeight="1" thickBot="1">
      <c r="A38" s="384">
        <f t="shared" si="1"/>
        <v>4</v>
      </c>
      <c r="B38" s="631" t="s">
        <v>2402</v>
      </c>
      <c r="C38" s="632"/>
      <c r="D38" s="632"/>
      <c r="E38" s="632"/>
      <c r="F38" s="632"/>
      <c r="G38" s="632"/>
      <c r="H38" s="632"/>
      <c r="I38" s="632"/>
      <c r="J38" s="632"/>
      <c r="K38" s="633"/>
      <c r="L38" s="634" t="s">
        <v>42</v>
      </c>
      <c r="M38" s="635"/>
      <c r="N38" s="635"/>
      <c r="O38" s="635"/>
      <c r="P38" s="636"/>
      <c r="Q38" s="637" t="s">
        <v>4</v>
      </c>
      <c r="R38" s="637"/>
      <c r="S38" s="637"/>
      <c r="T38" s="637"/>
      <c r="U38" s="637"/>
      <c r="V38" s="383" t="s">
        <v>448</v>
      </c>
      <c r="W38" s="638" t="s">
        <v>2408</v>
      </c>
      <c r="X38" s="639"/>
      <c r="Y38" s="640"/>
      <c r="Z38" s="641" t="s">
        <v>2438</v>
      </c>
      <c r="AA38" s="641"/>
      <c r="AB38" s="641"/>
      <c r="AC38" s="112" t="str">
        <f>IFERROR(VLOOKUP(Z38,【参考】数式用!$A$4:$B$57,2,FALSE),"")</f>
        <v>42</v>
      </c>
      <c r="AD38" s="622">
        <v>7100000</v>
      </c>
      <c r="AE38" s="623">
        <v>880400</v>
      </c>
      <c r="AF38" s="291">
        <f t="shared" ref="AF38" si="2">AD38-AE38</f>
        <v>6219600</v>
      </c>
      <c r="AG38" s="527"/>
      <c r="AP38" s="102" t="str">
        <f>IF($L$16="", "", VLOOKUP(Z38,【参考】数式用!$A$2:$O$57,14,FALSE))</f>
        <v>加算対象</v>
      </c>
      <c r="AQ38" s="27" t="str">
        <f>VLOOKUP(Z38,【参考】数式用!$A$2:$O$57,15,FALSE)</f>
        <v>短期利用型</v>
      </c>
    </row>
    <row r="39" spans="1:43" ht="49.9" customHeight="1" thickBot="1">
      <c r="A39" s="384">
        <f t="shared" si="1"/>
        <v>5</v>
      </c>
      <c r="B39" s="631" t="s">
        <v>2403</v>
      </c>
      <c r="C39" s="632"/>
      <c r="D39" s="632"/>
      <c r="E39" s="632"/>
      <c r="F39" s="632"/>
      <c r="G39" s="632"/>
      <c r="H39" s="632"/>
      <c r="I39" s="632"/>
      <c r="J39" s="632"/>
      <c r="K39" s="633"/>
      <c r="L39" s="634" t="s">
        <v>42</v>
      </c>
      <c r="M39" s="635"/>
      <c r="N39" s="635"/>
      <c r="O39" s="635"/>
      <c r="P39" s="636"/>
      <c r="Q39" s="637" t="s">
        <v>4</v>
      </c>
      <c r="R39" s="637"/>
      <c r="S39" s="637"/>
      <c r="T39" s="637"/>
      <c r="U39" s="637"/>
      <c r="V39" s="383" t="s">
        <v>465</v>
      </c>
      <c r="W39" s="638" t="s">
        <v>2409</v>
      </c>
      <c r="X39" s="639"/>
      <c r="Y39" s="640"/>
      <c r="Z39" s="641" t="s">
        <v>2289</v>
      </c>
      <c r="AA39" s="641"/>
      <c r="AB39" s="641"/>
      <c r="AC39" s="112" t="str">
        <f>IFERROR(VLOOKUP(Z39,【参考】数式用!$A$4:$B$57,2,FALSE),"")</f>
        <v>21</v>
      </c>
      <c r="AD39" s="622">
        <v>12700000</v>
      </c>
      <c r="AE39" s="623">
        <v>2057400</v>
      </c>
      <c r="AF39" s="291">
        <f t="shared" si="0"/>
        <v>10642600</v>
      </c>
      <c r="AG39" s="527"/>
      <c r="AP39" s="102" t="str">
        <f>IF($L$16="", "", VLOOKUP(Z39,【参考】数式用!$A$2:$O$57,14,FALSE))</f>
        <v>加算対象</v>
      </c>
      <c r="AQ39" s="27" t="str">
        <f>VLOOKUP(Z39,【参考】数式用!$A$2:$O$57,15,FALSE)</f>
        <v>介護予防</v>
      </c>
    </row>
    <row r="40" spans="1:43" ht="49.9" customHeight="1" thickBot="1">
      <c r="A40" s="384">
        <f t="shared" si="1"/>
        <v>6</v>
      </c>
      <c r="B40" s="631" t="s">
        <v>2404</v>
      </c>
      <c r="C40" s="632"/>
      <c r="D40" s="632"/>
      <c r="E40" s="632"/>
      <c r="F40" s="632"/>
      <c r="G40" s="632"/>
      <c r="H40" s="632"/>
      <c r="I40" s="632"/>
      <c r="J40" s="632"/>
      <c r="K40" s="633"/>
      <c r="L40" s="634" t="s">
        <v>42</v>
      </c>
      <c r="M40" s="635"/>
      <c r="N40" s="635"/>
      <c r="O40" s="635"/>
      <c r="P40" s="636"/>
      <c r="Q40" s="637" t="s">
        <v>4</v>
      </c>
      <c r="R40" s="637"/>
      <c r="S40" s="637"/>
      <c r="T40" s="637"/>
      <c r="U40" s="637"/>
      <c r="V40" s="383" t="s">
        <v>1372</v>
      </c>
      <c r="W40" s="638" t="s">
        <v>2410</v>
      </c>
      <c r="X40" s="639"/>
      <c r="Y40" s="640"/>
      <c r="Z40" s="641" t="s">
        <v>2335</v>
      </c>
      <c r="AA40" s="641"/>
      <c r="AB40" s="641"/>
      <c r="AC40" s="112" t="str">
        <f>IFERROR(VLOOKUP(Z40,【参考】数式用!$A$4:$B$57,2,FALSE),"")</f>
        <v>52</v>
      </c>
      <c r="AD40" s="622">
        <v>500000</v>
      </c>
      <c r="AE40" s="623">
        <v>25500</v>
      </c>
      <c r="AF40" s="291">
        <f t="shared" si="0"/>
        <v>474500</v>
      </c>
      <c r="AG40" s="527"/>
      <c r="AP40" s="102" t="str">
        <f>IF($L$16="", "", VLOOKUP(Z40,【参考】数式用!$A$2:$O$57,14,FALSE))</f>
        <v>加算対象外</v>
      </c>
      <c r="AQ40" s="27" t="str">
        <f>VLOOKUP(Z40,【参考】数式用!$A$2:$O$57,15,FALSE)</f>
        <v>その他</v>
      </c>
    </row>
    <row r="41" spans="1:43" ht="49.9" customHeight="1">
      <c r="A41" s="384">
        <f t="shared" si="1"/>
        <v>7</v>
      </c>
      <c r="B41" s="631" t="s">
        <v>2412</v>
      </c>
      <c r="C41" s="632"/>
      <c r="D41" s="632"/>
      <c r="E41" s="632"/>
      <c r="F41" s="632"/>
      <c r="G41" s="632"/>
      <c r="H41" s="632"/>
      <c r="I41" s="632"/>
      <c r="J41" s="632"/>
      <c r="K41" s="633"/>
      <c r="L41" s="634" t="s">
        <v>39</v>
      </c>
      <c r="M41" s="635"/>
      <c r="N41" s="635"/>
      <c r="O41" s="635"/>
      <c r="P41" s="636"/>
      <c r="Q41" s="637" t="s">
        <v>4</v>
      </c>
      <c r="R41" s="637"/>
      <c r="S41" s="637"/>
      <c r="T41" s="637"/>
      <c r="U41" s="637"/>
      <c r="V41" s="378" t="s">
        <v>1371</v>
      </c>
      <c r="W41" s="638" t="s">
        <v>2411</v>
      </c>
      <c r="X41" s="639"/>
      <c r="Y41" s="640"/>
      <c r="Z41" s="641" t="s">
        <v>2337</v>
      </c>
      <c r="AA41" s="641"/>
      <c r="AB41" s="641"/>
      <c r="AC41" s="112" t="str">
        <f>IFERROR(VLOOKUP(Z41,【参考】数式用!$A$4:$B$57,2,FALSE),"")</f>
        <v>53</v>
      </c>
      <c r="AD41" s="288">
        <v>400000</v>
      </c>
      <c r="AE41" s="294">
        <v>20400</v>
      </c>
      <c r="AF41" s="291">
        <f t="shared" si="0"/>
        <v>379600</v>
      </c>
      <c r="AG41" s="527"/>
      <c r="AP41" s="102" t="str">
        <f>IF($L$16="", "", VLOOKUP(Z41,【参考】数式用!$A$2:$O$57,14,FALSE))</f>
        <v>加算対象外</v>
      </c>
      <c r="AQ41" s="27" t="str">
        <f>VLOOKUP(Z41,【参考】数式用!$A$2:$O$57,15,FALSE)</f>
        <v>その他</v>
      </c>
    </row>
    <row r="42" spans="1:43" ht="49.9" customHeight="1">
      <c r="A42" s="384">
        <f t="shared" si="1"/>
        <v>8</v>
      </c>
      <c r="B42" s="708" t="s">
        <v>2499</v>
      </c>
      <c r="C42" s="709"/>
      <c r="D42" s="709"/>
      <c r="E42" s="709"/>
      <c r="F42" s="709"/>
      <c r="G42" s="709"/>
      <c r="H42" s="709"/>
      <c r="I42" s="709"/>
      <c r="J42" s="709"/>
      <c r="K42" s="709"/>
      <c r="L42" s="707" t="s">
        <v>39</v>
      </c>
      <c r="M42" s="707"/>
      <c r="N42" s="707"/>
      <c r="O42" s="707"/>
      <c r="P42" s="707"/>
      <c r="Q42" s="637" t="s">
        <v>4</v>
      </c>
      <c r="R42" s="637"/>
      <c r="S42" s="637"/>
      <c r="T42" s="637"/>
      <c r="U42" s="637"/>
      <c r="V42" s="290" t="s">
        <v>1361</v>
      </c>
      <c r="W42" s="641" t="s">
        <v>2500</v>
      </c>
      <c r="X42" s="641"/>
      <c r="Y42" s="641"/>
      <c r="Z42" s="641" t="s">
        <v>2329</v>
      </c>
      <c r="AA42" s="641"/>
      <c r="AB42" s="641"/>
      <c r="AC42" s="112" t="str">
        <f>IFERROR(VLOOKUP(Z42,【参考】数式用!$A$4:$B$57,2,FALSE),"")</f>
        <v>22</v>
      </c>
      <c r="AD42" s="288">
        <v>500000</v>
      </c>
      <c r="AE42" s="294">
        <v>20000</v>
      </c>
      <c r="AF42" s="291">
        <f t="shared" si="0"/>
        <v>480000</v>
      </c>
      <c r="AG42" s="527"/>
      <c r="AP42" s="102" t="str">
        <f>IF($L$16="", "", VLOOKUP(Z42,【参考】数式用!$A$2:$O$57,14,FALSE))</f>
        <v>加算対象</v>
      </c>
      <c r="AQ42" s="27" t="str">
        <f>VLOOKUP(Z42,【参考】数式用!$A$2:$O$57,15,FALSE)</f>
        <v>介護予防</v>
      </c>
    </row>
    <row r="43" spans="1:43" ht="49.9" customHeight="1">
      <c r="A43" s="384">
        <f t="shared" si="1"/>
        <v>9</v>
      </c>
      <c r="B43" s="708"/>
      <c r="C43" s="709"/>
      <c r="D43" s="709"/>
      <c r="E43" s="709"/>
      <c r="F43" s="709"/>
      <c r="G43" s="709"/>
      <c r="H43" s="709"/>
      <c r="I43" s="709"/>
      <c r="J43" s="709"/>
      <c r="K43" s="709"/>
      <c r="L43" s="707"/>
      <c r="M43" s="707"/>
      <c r="N43" s="707"/>
      <c r="O43" s="707"/>
      <c r="P43" s="707"/>
      <c r="Q43" s="637"/>
      <c r="R43" s="637"/>
      <c r="S43" s="637"/>
      <c r="T43" s="637"/>
      <c r="U43" s="637"/>
      <c r="V43" s="290"/>
      <c r="W43" s="641"/>
      <c r="X43" s="641"/>
      <c r="Y43" s="641"/>
      <c r="Z43" s="641"/>
      <c r="AA43" s="641"/>
      <c r="AB43" s="641"/>
      <c r="AC43" s="112" t="str">
        <f>IFERROR(VLOOKUP(Z43,【参考】数式用!$A$4:$B$57,2,FALSE),"")</f>
        <v/>
      </c>
      <c r="AD43" s="288"/>
      <c r="AE43" s="294"/>
      <c r="AF43" s="291">
        <f t="shared" si="0"/>
        <v>0</v>
      </c>
      <c r="AG43" s="527"/>
      <c r="AP43" s="102" t="e">
        <f>IF($L$16="", "", VLOOKUP(Z43,【参考】数式用!$A$2:$O$57,14,FALSE))</f>
        <v>#N/A</v>
      </c>
      <c r="AQ43" s="27" t="e">
        <f>VLOOKUP(Z43,【参考】数式用!$A$2:$O$57,15,FALSE)</f>
        <v>#N/A</v>
      </c>
    </row>
    <row r="44" spans="1:43" ht="49.9" customHeight="1">
      <c r="A44" s="384">
        <f t="shared" si="1"/>
        <v>10</v>
      </c>
      <c r="B44" s="708"/>
      <c r="C44" s="709"/>
      <c r="D44" s="709"/>
      <c r="E44" s="709"/>
      <c r="F44" s="709"/>
      <c r="G44" s="709"/>
      <c r="H44" s="709"/>
      <c r="I44" s="709"/>
      <c r="J44" s="709"/>
      <c r="K44" s="709"/>
      <c r="L44" s="707"/>
      <c r="M44" s="707"/>
      <c r="N44" s="707"/>
      <c r="O44" s="707"/>
      <c r="P44" s="707"/>
      <c r="Q44" s="637"/>
      <c r="R44" s="637"/>
      <c r="S44" s="637"/>
      <c r="T44" s="637"/>
      <c r="U44" s="637"/>
      <c r="V44" s="290"/>
      <c r="W44" s="641"/>
      <c r="X44" s="641"/>
      <c r="Y44" s="641"/>
      <c r="Z44" s="641"/>
      <c r="AA44" s="641"/>
      <c r="AB44" s="641"/>
      <c r="AC44" s="112" t="str">
        <f>IFERROR(VLOOKUP(Z44,【参考】数式用!$A$4:$B$57,2,FALSE),"")</f>
        <v/>
      </c>
      <c r="AD44" s="288"/>
      <c r="AE44" s="294"/>
      <c r="AF44" s="291">
        <f t="shared" si="0"/>
        <v>0</v>
      </c>
      <c r="AG44" s="527"/>
      <c r="AP44" s="102" t="e">
        <f>IF($L$16="", "", VLOOKUP(Z44,【参考】数式用!$A$2:$O$57,14,FALSE))</f>
        <v>#N/A</v>
      </c>
      <c r="AQ44" s="27" t="e">
        <f>VLOOKUP(Z44,【参考】数式用!$A$2:$O$57,15,FALSE)</f>
        <v>#N/A</v>
      </c>
    </row>
    <row r="45" spans="1:43" ht="49.9" customHeight="1">
      <c r="A45" s="384">
        <f t="shared" si="1"/>
        <v>11</v>
      </c>
      <c r="B45" s="708"/>
      <c r="C45" s="709"/>
      <c r="D45" s="709"/>
      <c r="E45" s="709"/>
      <c r="F45" s="709"/>
      <c r="G45" s="709"/>
      <c r="H45" s="709"/>
      <c r="I45" s="709"/>
      <c r="J45" s="709"/>
      <c r="K45" s="709"/>
      <c r="L45" s="707"/>
      <c r="M45" s="707"/>
      <c r="N45" s="707"/>
      <c r="O45" s="707"/>
      <c r="P45" s="707"/>
      <c r="Q45" s="637"/>
      <c r="R45" s="637"/>
      <c r="S45" s="637"/>
      <c r="T45" s="637"/>
      <c r="U45" s="637"/>
      <c r="V45" s="290"/>
      <c r="W45" s="641"/>
      <c r="X45" s="641"/>
      <c r="Y45" s="641"/>
      <c r="Z45" s="641"/>
      <c r="AA45" s="641"/>
      <c r="AB45" s="641"/>
      <c r="AC45" s="112" t="str">
        <f>IFERROR(VLOOKUP(Z45,【参考】数式用!$A$4:$B$57,2,FALSE),"")</f>
        <v/>
      </c>
      <c r="AD45" s="288"/>
      <c r="AE45" s="294"/>
      <c r="AF45" s="291">
        <f t="shared" si="0"/>
        <v>0</v>
      </c>
      <c r="AG45" s="527"/>
      <c r="AP45" s="102" t="e">
        <f>IF($L$16="", "", VLOOKUP(Z45,【参考】数式用!$A$2:$O$57,14,FALSE))</f>
        <v>#N/A</v>
      </c>
      <c r="AQ45" s="27" t="e">
        <f>VLOOKUP(Z45,【参考】数式用!$A$2:$O$57,15,FALSE)</f>
        <v>#N/A</v>
      </c>
    </row>
    <row r="46" spans="1:43" ht="49.9" customHeight="1">
      <c r="A46" s="384">
        <f t="shared" si="1"/>
        <v>12</v>
      </c>
      <c r="B46" s="708"/>
      <c r="C46" s="709"/>
      <c r="D46" s="709"/>
      <c r="E46" s="709"/>
      <c r="F46" s="709"/>
      <c r="G46" s="709"/>
      <c r="H46" s="709"/>
      <c r="I46" s="709"/>
      <c r="J46" s="709"/>
      <c r="K46" s="709"/>
      <c r="L46" s="707"/>
      <c r="M46" s="707"/>
      <c r="N46" s="707"/>
      <c r="O46" s="707"/>
      <c r="P46" s="707"/>
      <c r="Q46" s="637"/>
      <c r="R46" s="637"/>
      <c r="S46" s="637"/>
      <c r="T46" s="637"/>
      <c r="U46" s="637"/>
      <c r="V46" s="290"/>
      <c r="W46" s="641"/>
      <c r="X46" s="641"/>
      <c r="Y46" s="641"/>
      <c r="Z46" s="641"/>
      <c r="AA46" s="641"/>
      <c r="AB46" s="641"/>
      <c r="AC46" s="112" t="str">
        <f>IFERROR(VLOOKUP(Z46,【参考】数式用!$A$4:$B$57,2,FALSE),"")</f>
        <v/>
      </c>
      <c r="AD46" s="288"/>
      <c r="AE46" s="294"/>
      <c r="AF46" s="291">
        <f t="shared" si="0"/>
        <v>0</v>
      </c>
      <c r="AG46" s="527"/>
      <c r="AP46" s="102" t="e">
        <f>IF($L$16="", "", VLOOKUP(Z46,【参考】数式用!$A$2:$O$57,14,FALSE))</f>
        <v>#N/A</v>
      </c>
      <c r="AQ46" s="27" t="e">
        <f>VLOOKUP(Z46,【参考】数式用!$A$2:$O$57,15,FALSE)</f>
        <v>#N/A</v>
      </c>
    </row>
    <row r="47" spans="1:43" ht="49.9" customHeight="1">
      <c r="A47" s="384">
        <f t="shared" si="1"/>
        <v>13</v>
      </c>
      <c r="B47" s="708"/>
      <c r="C47" s="709"/>
      <c r="D47" s="709"/>
      <c r="E47" s="709"/>
      <c r="F47" s="709"/>
      <c r="G47" s="709"/>
      <c r="H47" s="709"/>
      <c r="I47" s="709"/>
      <c r="J47" s="709"/>
      <c r="K47" s="709"/>
      <c r="L47" s="707"/>
      <c r="M47" s="707"/>
      <c r="N47" s="707"/>
      <c r="O47" s="707"/>
      <c r="P47" s="707"/>
      <c r="Q47" s="637"/>
      <c r="R47" s="637"/>
      <c r="S47" s="637"/>
      <c r="T47" s="637"/>
      <c r="U47" s="637"/>
      <c r="V47" s="290"/>
      <c r="W47" s="641"/>
      <c r="X47" s="641"/>
      <c r="Y47" s="641"/>
      <c r="Z47" s="641"/>
      <c r="AA47" s="641"/>
      <c r="AB47" s="641"/>
      <c r="AC47" s="112" t="str">
        <f>IFERROR(VLOOKUP(Z47,【参考】数式用!$A$4:$B$57,2,FALSE),"")</f>
        <v/>
      </c>
      <c r="AD47" s="288"/>
      <c r="AE47" s="294"/>
      <c r="AF47" s="291">
        <f t="shared" si="0"/>
        <v>0</v>
      </c>
      <c r="AG47" s="527"/>
      <c r="AP47" s="102" t="e">
        <f>IF($L$16="", "", VLOOKUP(Z47,【参考】数式用!$A$2:$O$57,14,FALSE))</f>
        <v>#N/A</v>
      </c>
      <c r="AQ47" s="27" t="e">
        <f>VLOOKUP(Z47,【参考】数式用!$A$2:$O$57,15,FALSE)</f>
        <v>#N/A</v>
      </c>
    </row>
    <row r="48" spans="1:43" ht="49.9" customHeight="1">
      <c r="A48" s="384">
        <f t="shared" si="1"/>
        <v>14</v>
      </c>
      <c r="B48" s="708"/>
      <c r="C48" s="709"/>
      <c r="D48" s="709"/>
      <c r="E48" s="709"/>
      <c r="F48" s="709"/>
      <c r="G48" s="709"/>
      <c r="H48" s="709"/>
      <c r="I48" s="709"/>
      <c r="J48" s="709"/>
      <c r="K48" s="709"/>
      <c r="L48" s="707"/>
      <c r="M48" s="707"/>
      <c r="N48" s="707"/>
      <c r="O48" s="707"/>
      <c r="P48" s="707"/>
      <c r="Q48" s="637"/>
      <c r="R48" s="637"/>
      <c r="S48" s="637"/>
      <c r="T48" s="637"/>
      <c r="U48" s="637"/>
      <c r="V48" s="290"/>
      <c r="W48" s="641"/>
      <c r="X48" s="641"/>
      <c r="Y48" s="641"/>
      <c r="Z48" s="641"/>
      <c r="AA48" s="641"/>
      <c r="AB48" s="641"/>
      <c r="AC48" s="112" t="str">
        <f>IFERROR(VLOOKUP(Z48,【参考】数式用!$A$4:$B$57,2,FALSE),"")</f>
        <v/>
      </c>
      <c r="AD48" s="288"/>
      <c r="AE48" s="294"/>
      <c r="AF48" s="291">
        <f t="shared" si="0"/>
        <v>0</v>
      </c>
      <c r="AG48" s="527"/>
      <c r="AP48" s="102" t="e">
        <f>IF($L$16="", "", VLOOKUP(Z48,【参考】数式用!$A$2:$O$57,14,FALSE))</f>
        <v>#N/A</v>
      </c>
      <c r="AQ48" s="27" t="e">
        <f>VLOOKUP(Z48,【参考】数式用!$A$2:$O$57,15,FALSE)</f>
        <v>#N/A</v>
      </c>
    </row>
    <row r="49" spans="1:43" ht="49.9" customHeight="1">
      <c r="A49" s="384">
        <f t="shared" si="1"/>
        <v>15</v>
      </c>
      <c r="B49" s="708"/>
      <c r="C49" s="709"/>
      <c r="D49" s="709"/>
      <c r="E49" s="709"/>
      <c r="F49" s="709"/>
      <c r="G49" s="709"/>
      <c r="H49" s="709"/>
      <c r="I49" s="709"/>
      <c r="J49" s="709"/>
      <c r="K49" s="709"/>
      <c r="L49" s="707"/>
      <c r="M49" s="707"/>
      <c r="N49" s="707"/>
      <c r="O49" s="707"/>
      <c r="P49" s="707"/>
      <c r="Q49" s="637"/>
      <c r="R49" s="637"/>
      <c r="S49" s="637"/>
      <c r="T49" s="637"/>
      <c r="U49" s="637"/>
      <c r="V49" s="290"/>
      <c r="W49" s="641"/>
      <c r="X49" s="641"/>
      <c r="Y49" s="641"/>
      <c r="Z49" s="641"/>
      <c r="AA49" s="641"/>
      <c r="AB49" s="641"/>
      <c r="AC49" s="112" t="str">
        <f>IFERROR(VLOOKUP(Z49,【参考】数式用!$A$4:$B$57,2,FALSE),"")</f>
        <v/>
      </c>
      <c r="AD49" s="288"/>
      <c r="AE49" s="294"/>
      <c r="AF49" s="291">
        <f t="shared" si="0"/>
        <v>0</v>
      </c>
      <c r="AG49" s="527"/>
      <c r="AP49" s="102" t="e">
        <f>IF($L$16="", "", VLOOKUP(Z49,【参考】数式用!$A$2:$O$57,14,FALSE))</f>
        <v>#N/A</v>
      </c>
      <c r="AQ49" s="27" t="e">
        <f>VLOOKUP(Z49,【参考】数式用!$A$2:$O$57,15,FALSE)</f>
        <v>#N/A</v>
      </c>
    </row>
    <row r="50" spans="1:43" ht="49.9" customHeight="1">
      <c r="A50" s="384">
        <f t="shared" si="1"/>
        <v>16</v>
      </c>
      <c r="B50" s="708"/>
      <c r="C50" s="709"/>
      <c r="D50" s="709"/>
      <c r="E50" s="709"/>
      <c r="F50" s="709"/>
      <c r="G50" s="709"/>
      <c r="H50" s="709"/>
      <c r="I50" s="709"/>
      <c r="J50" s="709"/>
      <c r="K50" s="709"/>
      <c r="L50" s="707"/>
      <c r="M50" s="707"/>
      <c r="N50" s="707"/>
      <c r="O50" s="707"/>
      <c r="P50" s="707"/>
      <c r="Q50" s="637"/>
      <c r="R50" s="637"/>
      <c r="S50" s="637"/>
      <c r="T50" s="637"/>
      <c r="U50" s="637"/>
      <c r="V50" s="290"/>
      <c r="W50" s="641"/>
      <c r="X50" s="641"/>
      <c r="Y50" s="641"/>
      <c r="Z50" s="641"/>
      <c r="AA50" s="641"/>
      <c r="AB50" s="641"/>
      <c r="AC50" s="112" t="str">
        <f>IFERROR(VLOOKUP(Z50,【参考】数式用!$A$4:$B$57,2,FALSE),"")</f>
        <v/>
      </c>
      <c r="AD50" s="288"/>
      <c r="AE50" s="294"/>
      <c r="AF50" s="291">
        <f t="shared" si="0"/>
        <v>0</v>
      </c>
      <c r="AG50" s="527"/>
      <c r="AP50" s="102" t="e">
        <f>IF($L$16="", "", VLOOKUP(Z50,【参考】数式用!$A$2:$O$57,14,FALSE))</f>
        <v>#N/A</v>
      </c>
      <c r="AQ50" s="27" t="e">
        <f>VLOOKUP(Z50,【参考】数式用!$A$2:$O$57,15,FALSE)</f>
        <v>#N/A</v>
      </c>
    </row>
    <row r="51" spans="1:43" ht="49.9" customHeight="1">
      <c r="A51" s="384">
        <f t="shared" si="1"/>
        <v>17</v>
      </c>
      <c r="B51" s="708"/>
      <c r="C51" s="709"/>
      <c r="D51" s="709"/>
      <c r="E51" s="709"/>
      <c r="F51" s="709"/>
      <c r="G51" s="709"/>
      <c r="H51" s="709"/>
      <c r="I51" s="709"/>
      <c r="J51" s="709"/>
      <c r="K51" s="709"/>
      <c r="L51" s="707"/>
      <c r="M51" s="707"/>
      <c r="N51" s="707"/>
      <c r="O51" s="707"/>
      <c r="P51" s="707"/>
      <c r="Q51" s="637"/>
      <c r="R51" s="637"/>
      <c r="S51" s="637"/>
      <c r="T51" s="637"/>
      <c r="U51" s="637"/>
      <c r="V51" s="290"/>
      <c r="W51" s="641"/>
      <c r="X51" s="641"/>
      <c r="Y51" s="641"/>
      <c r="Z51" s="641"/>
      <c r="AA51" s="641"/>
      <c r="AB51" s="641"/>
      <c r="AC51" s="112" t="str">
        <f>IFERROR(VLOOKUP(Z51,【参考】数式用!$A$4:$B$57,2,FALSE),"")</f>
        <v/>
      </c>
      <c r="AD51" s="288"/>
      <c r="AE51" s="294"/>
      <c r="AF51" s="291">
        <f t="shared" si="0"/>
        <v>0</v>
      </c>
      <c r="AG51" s="527"/>
      <c r="AP51" s="102" t="e">
        <f>IF($L$16="", "", VLOOKUP(Z51,【参考】数式用!$A$2:$O$57,14,FALSE))</f>
        <v>#N/A</v>
      </c>
      <c r="AQ51" s="27" t="e">
        <f>VLOOKUP(Z51,【参考】数式用!$A$2:$O$57,15,FALSE)</f>
        <v>#N/A</v>
      </c>
    </row>
    <row r="52" spans="1:43" ht="49.9" customHeight="1">
      <c r="A52" s="384">
        <f t="shared" si="1"/>
        <v>18</v>
      </c>
      <c r="B52" s="708"/>
      <c r="C52" s="709"/>
      <c r="D52" s="709"/>
      <c r="E52" s="709"/>
      <c r="F52" s="709"/>
      <c r="G52" s="709"/>
      <c r="H52" s="709"/>
      <c r="I52" s="709"/>
      <c r="J52" s="709"/>
      <c r="K52" s="709"/>
      <c r="L52" s="707"/>
      <c r="M52" s="707"/>
      <c r="N52" s="707"/>
      <c r="O52" s="707"/>
      <c r="P52" s="707"/>
      <c r="Q52" s="637"/>
      <c r="R52" s="637"/>
      <c r="S52" s="637"/>
      <c r="T52" s="637"/>
      <c r="U52" s="637"/>
      <c r="V52" s="290"/>
      <c r="W52" s="641"/>
      <c r="X52" s="641"/>
      <c r="Y52" s="641"/>
      <c r="Z52" s="641"/>
      <c r="AA52" s="641"/>
      <c r="AB52" s="641"/>
      <c r="AC52" s="112" t="str">
        <f>IFERROR(VLOOKUP(Z52,【参考】数式用!$A$4:$B$57,2,FALSE),"")</f>
        <v/>
      </c>
      <c r="AD52" s="288"/>
      <c r="AE52" s="294"/>
      <c r="AF52" s="291">
        <f t="shared" si="0"/>
        <v>0</v>
      </c>
      <c r="AG52" s="527"/>
      <c r="AP52" s="102" t="e">
        <f>IF($L$16="", "", VLOOKUP(Z52,【参考】数式用!$A$2:$O$57,14,FALSE))</f>
        <v>#N/A</v>
      </c>
      <c r="AQ52" s="27" t="e">
        <f>VLOOKUP(Z52,【参考】数式用!$A$2:$O$57,15,FALSE)</f>
        <v>#N/A</v>
      </c>
    </row>
    <row r="53" spans="1:43" ht="49.9" customHeight="1">
      <c r="A53" s="384">
        <f t="shared" si="1"/>
        <v>19</v>
      </c>
      <c r="B53" s="708"/>
      <c r="C53" s="709"/>
      <c r="D53" s="709"/>
      <c r="E53" s="709"/>
      <c r="F53" s="709"/>
      <c r="G53" s="709"/>
      <c r="H53" s="709"/>
      <c r="I53" s="709"/>
      <c r="J53" s="709"/>
      <c r="K53" s="709"/>
      <c r="L53" s="707"/>
      <c r="M53" s="707"/>
      <c r="N53" s="707"/>
      <c r="O53" s="707"/>
      <c r="P53" s="707"/>
      <c r="Q53" s="637"/>
      <c r="R53" s="637"/>
      <c r="S53" s="637"/>
      <c r="T53" s="637"/>
      <c r="U53" s="637"/>
      <c r="V53" s="290"/>
      <c r="W53" s="641"/>
      <c r="X53" s="641"/>
      <c r="Y53" s="641"/>
      <c r="Z53" s="641"/>
      <c r="AA53" s="641"/>
      <c r="AB53" s="641"/>
      <c r="AC53" s="112" t="str">
        <f>IFERROR(VLOOKUP(Z53,【参考】数式用!$A$4:$B$57,2,FALSE),"")</f>
        <v/>
      </c>
      <c r="AD53" s="288"/>
      <c r="AE53" s="294"/>
      <c r="AF53" s="291">
        <f t="shared" si="0"/>
        <v>0</v>
      </c>
      <c r="AG53" s="527"/>
      <c r="AP53" s="102" t="e">
        <f>IF($L$16="", "", VLOOKUP(Z53,【参考】数式用!$A$2:$O$57,14,FALSE))</f>
        <v>#N/A</v>
      </c>
      <c r="AQ53" s="27" t="e">
        <f>VLOOKUP(Z53,【参考】数式用!$A$2:$O$57,15,FALSE)</f>
        <v>#N/A</v>
      </c>
    </row>
    <row r="54" spans="1:43" ht="49.9" customHeight="1">
      <c r="A54" s="384">
        <f t="shared" si="1"/>
        <v>20</v>
      </c>
      <c r="B54" s="708"/>
      <c r="C54" s="709"/>
      <c r="D54" s="709"/>
      <c r="E54" s="709"/>
      <c r="F54" s="709"/>
      <c r="G54" s="709"/>
      <c r="H54" s="709"/>
      <c r="I54" s="709"/>
      <c r="J54" s="709"/>
      <c r="K54" s="709"/>
      <c r="L54" s="707"/>
      <c r="M54" s="707"/>
      <c r="N54" s="707"/>
      <c r="O54" s="707"/>
      <c r="P54" s="707"/>
      <c r="Q54" s="637"/>
      <c r="R54" s="637"/>
      <c r="S54" s="637"/>
      <c r="T54" s="637"/>
      <c r="U54" s="637"/>
      <c r="V54" s="290"/>
      <c r="W54" s="641"/>
      <c r="X54" s="641"/>
      <c r="Y54" s="641"/>
      <c r="Z54" s="641"/>
      <c r="AA54" s="641"/>
      <c r="AB54" s="641"/>
      <c r="AC54" s="112" t="str">
        <f>IFERROR(VLOOKUP(Z54,【参考】数式用!$A$4:$B$57,2,FALSE),"")</f>
        <v/>
      </c>
      <c r="AD54" s="288"/>
      <c r="AE54" s="294"/>
      <c r="AF54" s="291">
        <f t="shared" si="0"/>
        <v>0</v>
      </c>
      <c r="AG54" s="527"/>
      <c r="AP54" s="102" t="e">
        <f>IF($L$16="", "", VLOOKUP(Z54,【参考】数式用!$A$2:$O$57,14,FALSE))</f>
        <v>#N/A</v>
      </c>
      <c r="AQ54" s="27" t="e">
        <f>VLOOKUP(Z54,【参考】数式用!$A$2:$O$57,15,FALSE)</f>
        <v>#N/A</v>
      </c>
    </row>
    <row r="55" spans="1:43" ht="49.9" customHeight="1">
      <c r="A55" s="384">
        <f t="shared" si="1"/>
        <v>21</v>
      </c>
      <c r="B55" s="708"/>
      <c r="C55" s="709"/>
      <c r="D55" s="709"/>
      <c r="E55" s="709"/>
      <c r="F55" s="709"/>
      <c r="G55" s="709"/>
      <c r="H55" s="709"/>
      <c r="I55" s="709"/>
      <c r="J55" s="709"/>
      <c r="K55" s="709"/>
      <c r="L55" s="707"/>
      <c r="M55" s="707"/>
      <c r="N55" s="707"/>
      <c r="O55" s="707"/>
      <c r="P55" s="707"/>
      <c r="Q55" s="637"/>
      <c r="R55" s="637"/>
      <c r="S55" s="637"/>
      <c r="T55" s="637"/>
      <c r="U55" s="637"/>
      <c r="V55" s="290"/>
      <c r="W55" s="641"/>
      <c r="X55" s="641"/>
      <c r="Y55" s="641"/>
      <c r="Z55" s="641"/>
      <c r="AA55" s="641"/>
      <c r="AB55" s="641"/>
      <c r="AC55" s="112" t="str">
        <f>IFERROR(VLOOKUP(Z55,【参考】数式用!$A$4:$B$57,2,FALSE),"")</f>
        <v/>
      </c>
      <c r="AD55" s="288"/>
      <c r="AE55" s="294"/>
      <c r="AF55" s="291">
        <f t="shared" si="0"/>
        <v>0</v>
      </c>
      <c r="AG55" s="527"/>
      <c r="AP55" s="102" t="e">
        <f>IF($L$16="", "", VLOOKUP(Z55,【参考】数式用!$A$2:$O$57,14,FALSE))</f>
        <v>#N/A</v>
      </c>
      <c r="AQ55" s="27" t="e">
        <f>VLOOKUP(Z55,【参考】数式用!$A$2:$O$57,15,FALSE)</f>
        <v>#N/A</v>
      </c>
    </row>
    <row r="56" spans="1:43" ht="49.9" customHeight="1">
      <c r="A56" s="384">
        <f t="shared" si="1"/>
        <v>22</v>
      </c>
      <c r="B56" s="708"/>
      <c r="C56" s="709"/>
      <c r="D56" s="709"/>
      <c r="E56" s="709"/>
      <c r="F56" s="709"/>
      <c r="G56" s="709"/>
      <c r="H56" s="709"/>
      <c r="I56" s="709"/>
      <c r="J56" s="709"/>
      <c r="K56" s="709"/>
      <c r="L56" s="707"/>
      <c r="M56" s="707"/>
      <c r="N56" s="707"/>
      <c r="O56" s="707"/>
      <c r="P56" s="707"/>
      <c r="Q56" s="637"/>
      <c r="R56" s="637"/>
      <c r="S56" s="637"/>
      <c r="T56" s="637"/>
      <c r="U56" s="637"/>
      <c r="V56" s="290"/>
      <c r="W56" s="641"/>
      <c r="X56" s="641"/>
      <c r="Y56" s="641"/>
      <c r="Z56" s="641"/>
      <c r="AA56" s="641"/>
      <c r="AB56" s="641"/>
      <c r="AC56" s="112" t="str">
        <f>IFERROR(VLOOKUP(Z56,【参考】数式用!$A$4:$B$57,2,FALSE),"")</f>
        <v/>
      </c>
      <c r="AD56" s="288"/>
      <c r="AE56" s="294"/>
      <c r="AF56" s="291">
        <f t="shared" si="0"/>
        <v>0</v>
      </c>
      <c r="AG56" s="527"/>
      <c r="AP56" s="102" t="e">
        <f>IF($L$16="", "", VLOOKUP(Z56,【参考】数式用!$A$2:$O$57,14,FALSE))</f>
        <v>#N/A</v>
      </c>
      <c r="AQ56" s="27" t="e">
        <f>VLOOKUP(Z56,【参考】数式用!$A$2:$O$57,15,FALSE)</f>
        <v>#N/A</v>
      </c>
    </row>
    <row r="57" spans="1:43" ht="49.9" customHeight="1">
      <c r="A57" s="384">
        <f t="shared" si="1"/>
        <v>23</v>
      </c>
      <c r="B57" s="708"/>
      <c r="C57" s="709"/>
      <c r="D57" s="709"/>
      <c r="E57" s="709"/>
      <c r="F57" s="709"/>
      <c r="G57" s="709"/>
      <c r="H57" s="709"/>
      <c r="I57" s="709"/>
      <c r="J57" s="709"/>
      <c r="K57" s="709"/>
      <c r="L57" s="707"/>
      <c r="M57" s="707"/>
      <c r="N57" s="707"/>
      <c r="O57" s="707"/>
      <c r="P57" s="707"/>
      <c r="Q57" s="637"/>
      <c r="R57" s="637"/>
      <c r="S57" s="637"/>
      <c r="T57" s="637"/>
      <c r="U57" s="637"/>
      <c r="V57" s="290"/>
      <c r="W57" s="641"/>
      <c r="X57" s="641"/>
      <c r="Y57" s="641"/>
      <c r="Z57" s="641"/>
      <c r="AA57" s="641"/>
      <c r="AB57" s="641"/>
      <c r="AC57" s="112" t="str">
        <f>IFERROR(VLOOKUP(Z57,【参考】数式用!$A$4:$B$57,2,FALSE),"")</f>
        <v/>
      </c>
      <c r="AD57" s="288"/>
      <c r="AE57" s="294"/>
      <c r="AF57" s="291">
        <f t="shared" si="0"/>
        <v>0</v>
      </c>
      <c r="AG57" s="527"/>
      <c r="AP57" s="102" t="e">
        <f>IF($L$16="", "", VLOOKUP(Z57,【参考】数式用!$A$2:$O$57,14,FALSE))</f>
        <v>#N/A</v>
      </c>
      <c r="AQ57" s="27" t="e">
        <f>VLOOKUP(Z57,【参考】数式用!$A$2:$O$57,15,FALSE)</f>
        <v>#N/A</v>
      </c>
    </row>
    <row r="58" spans="1:43" ht="49.9" customHeight="1">
      <c r="A58" s="384">
        <f t="shared" si="1"/>
        <v>24</v>
      </c>
      <c r="B58" s="708"/>
      <c r="C58" s="709"/>
      <c r="D58" s="709"/>
      <c r="E58" s="709"/>
      <c r="F58" s="709"/>
      <c r="G58" s="709"/>
      <c r="H58" s="709"/>
      <c r="I58" s="709"/>
      <c r="J58" s="709"/>
      <c r="K58" s="709"/>
      <c r="L58" s="707"/>
      <c r="M58" s="707"/>
      <c r="N58" s="707"/>
      <c r="O58" s="707"/>
      <c r="P58" s="707"/>
      <c r="Q58" s="637"/>
      <c r="R58" s="637"/>
      <c r="S58" s="637"/>
      <c r="T58" s="637"/>
      <c r="U58" s="637"/>
      <c r="V58" s="290"/>
      <c r="W58" s="641"/>
      <c r="X58" s="641"/>
      <c r="Y58" s="641"/>
      <c r="Z58" s="641"/>
      <c r="AA58" s="641"/>
      <c r="AB58" s="641"/>
      <c r="AC58" s="112" t="str">
        <f>IFERROR(VLOOKUP(Z58,【参考】数式用!$A$4:$B$57,2,FALSE),"")</f>
        <v/>
      </c>
      <c r="AD58" s="288"/>
      <c r="AE58" s="294"/>
      <c r="AF58" s="291">
        <f t="shared" si="0"/>
        <v>0</v>
      </c>
      <c r="AG58" s="527"/>
      <c r="AP58" s="102" t="e">
        <f>IF($L$16="", "", VLOOKUP(Z58,【参考】数式用!$A$2:$O$57,14,FALSE))</f>
        <v>#N/A</v>
      </c>
      <c r="AQ58" s="27" t="e">
        <f>VLOOKUP(Z58,【参考】数式用!$A$2:$O$57,15,FALSE)</f>
        <v>#N/A</v>
      </c>
    </row>
    <row r="59" spans="1:43" ht="49.9" customHeight="1">
      <c r="A59" s="384">
        <f t="shared" si="1"/>
        <v>25</v>
      </c>
      <c r="B59" s="708"/>
      <c r="C59" s="709"/>
      <c r="D59" s="709"/>
      <c r="E59" s="709"/>
      <c r="F59" s="709"/>
      <c r="G59" s="709"/>
      <c r="H59" s="709"/>
      <c r="I59" s="709"/>
      <c r="J59" s="709"/>
      <c r="K59" s="709"/>
      <c r="L59" s="707"/>
      <c r="M59" s="707"/>
      <c r="N59" s="707"/>
      <c r="O59" s="707"/>
      <c r="P59" s="707"/>
      <c r="Q59" s="637"/>
      <c r="R59" s="637"/>
      <c r="S59" s="637"/>
      <c r="T59" s="637"/>
      <c r="U59" s="637"/>
      <c r="V59" s="290"/>
      <c r="W59" s="641"/>
      <c r="X59" s="641"/>
      <c r="Y59" s="641"/>
      <c r="Z59" s="641"/>
      <c r="AA59" s="641"/>
      <c r="AB59" s="641"/>
      <c r="AC59" s="112" t="str">
        <f>IFERROR(VLOOKUP(Z59,【参考】数式用!$A$4:$B$57,2,FALSE),"")</f>
        <v/>
      </c>
      <c r="AD59" s="288"/>
      <c r="AE59" s="294"/>
      <c r="AF59" s="291">
        <f t="shared" si="0"/>
        <v>0</v>
      </c>
      <c r="AG59" s="527"/>
      <c r="AP59" s="102" t="e">
        <f>IF($L$16="", "", VLOOKUP(Z59,【参考】数式用!$A$2:$O$57,14,FALSE))</f>
        <v>#N/A</v>
      </c>
      <c r="AQ59" s="27" t="e">
        <f>VLOOKUP(Z59,【参考】数式用!$A$2:$O$57,15,FALSE)</f>
        <v>#N/A</v>
      </c>
    </row>
    <row r="60" spans="1:43" ht="49.9" customHeight="1">
      <c r="A60" s="384">
        <f t="shared" si="1"/>
        <v>26</v>
      </c>
      <c r="B60" s="708"/>
      <c r="C60" s="709"/>
      <c r="D60" s="709"/>
      <c r="E60" s="709"/>
      <c r="F60" s="709"/>
      <c r="G60" s="709"/>
      <c r="H60" s="709"/>
      <c r="I60" s="709"/>
      <c r="J60" s="709"/>
      <c r="K60" s="709"/>
      <c r="L60" s="707"/>
      <c r="M60" s="707"/>
      <c r="N60" s="707"/>
      <c r="O60" s="707"/>
      <c r="P60" s="707"/>
      <c r="Q60" s="637"/>
      <c r="R60" s="637"/>
      <c r="S60" s="637"/>
      <c r="T60" s="637"/>
      <c r="U60" s="637"/>
      <c r="V60" s="290"/>
      <c r="W60" s="641"/>
      <c r="X60" s="641"/>
      <c r="Y60" s="641"/>
      <c r="Z60" s="641"/>
      <c r="AA60" s="641"/>
      <c r="AB60" s="641"/>
      <c r="AC60" s="112" t="str">
        <f>IFERROR(VLOOKUP(Z60,【参考】数式用!$A$4:$B$57,2,FALSE),"")</f>
        <v/>
      </c>
      <c r="AD60" s="288"/>
      <c r="AE60" s="294"/>
      <c r="AF60" s="291">
        <f t="shared" si="0"/>
        <v>0</v>
      </c>
      <c r="AG60" s="527"/>
      <c r="AP60" s="102" t="e">
        <f>IF($L$16="", "", VLOOKUP(Z60,【参考】数式用!$A$2:$O$57,14,FALSE))</f>
        <v>#N/A</v>
      </c>
      <c r="AQ60" s="27" t="e">
        <f>VLOOKUP(Z60,【参考】数式用!$A$2:$O$57,15,FALSE)</f>
        <v>#N/A</v>
      </c>
    </row>
    <row r="61" spans="1:43" ht="49.9" customHeight="1">
      <c r="A61" s="384">
        <f t="shared" si="1"/>
        <v>27</v>
      </c>
      <c r="B61" s="708"/>
      <c r="C61" s="709"/>
      <c r="D61" s="709"/>
      <c r="E61" s="709"/>
      <c r="F61" s="709"/>
      <c r="G61" s="709"/>
      <c r="H61" s="709"/>
      <c r="I61" s="709"/>
      <c r="J61" s="709"/>
      <c r="K61" s="709"/>
      <c r="L61" s="707"/>
      <c r="M61" s="707"/>
      <c r="N61" s="707"/>
      <c r="O61" s="707"/>
      <c r="P61" s="707"/>
      <c r="Q61" s="637"/>
      <c r="R61" s="637"/>
      <c r="S61" s="637"/>
      <c r="T61" s="637"/>
      <c r="U61" s="637"/>
      <c r="V61" s="290"/>
      <c r="W61" s="641"/>
      <c r="X61" s="641"/>
      <c r="Y61" s="641"/>
      <c r="Z61" s="641"/>
      <c r="AA61" s="641"/>
      <c r="AB61" s="641"/>
      <c r="AC61" s="112" t="str">
        <f>IFERROR(VLOOKUP(Z61,【参考】数式用!$A$4:$B$57,2,FALSE),"")</f>
        <v/>
      </c>
      <c r="AD61" s="288"/>
      <c r="AE61" s="294"/>
      <c r="AF61" s="291">
        <f t="shared" si="0"/>
        <v>0</v>
      </c>
      <c r="AG61" s="527"/>
      <c r="AP61" s="102" t="e">
        <f>IF($L$16="", "", VLOOKUP(Z61,【参考】数式用!$A$2:$O$57,14,FALSE))</f>
        <v>#N/A</v>
      </c>
      <c r="AQ61" s="27" t="e">
        <f>VLOOKUP(Z61,【参考】数式用!$A$2:$O$57,15,FALSE)</f>
        <v>#N/A</v>
      </c>
    </row>
    <row r="62" spans="1:43" ht="49.9" customHeight="1">
      <c r="A62" s="384">
        <f t="shared" si="1"/>
        <v>28</v>
      </c>
      <c r="B62" s="708"/>
      <c r="C62" s="709"/>
      <c r="D62" s="709"/>
      <c r="E62" s="709"/>
      <c r="F62" s="709"/>
      <c r="G62" s="709"/>
      <c r="H62" s="709"/>
      <c r="I62" s="709"/>
      <c r="J62" s="709"/>
      <c r="K62" s="709"/>
      <c r="L62" s="707"/>
      <c r="M62" s="707"/>
      <c r="N62" s="707"/>
      <c r="O62" s="707"/>
      <c r="P62" s="707"/>
      <c r="Q62" s="637"/>
      <c r="R62" s="637"/>
      <c r="S62" s="637"/>
      <c r="T62" s="637"/>
      <c r="U62" s="637"/>
      <c r="V62" s="290"/>
      <c r="W62" s="641"/>
      <c r="X62" s="641"/>
      <c r="Y62" s="641"/>
      <c r="Z62" s="641"/>
      <c r="AA62" s="641"/>
      <c r="AB62" s="641"/>
      <c r="AC62" s="112" t="str">
        <f>IFERROR(VLOOKUP(Z62,【参考】数式用!$A$4:$B$57,2,FALSE),"")</f>
        <v/>
      </c>
      <c r="AD62" s="288"/>
      <c r="AE62" s="294"/>
      <c r="AF62" s="291">
        <f t="shared" si="0"/>
        <v>0</v>
      </c>
      <c r="AG62" s="527"/>
      <c r="AP62" s="102" t="e">
        <f>IF($L$16="", "", VLOOKUP(Z62,【参考】数式用!$A$2:$O$57,14,FALSE))</f>
        <v>#N/A</v>
      </c>
      <c r="AQ62" s="27" t="e">
        <f>VLOOKUP(Z62,【参考】数式用!$A$2:$O$57,15,FALSE)</f>
        <v>#N/A</v>
      </c>
    </row>
    <row r="63" spans="1:43" ht="49.9" customHeight="1">
      <c r="A63" s="384">
        <f t="shared" si="1"/>
        <v>29</v>
      </c>
      <c r="B63" s="708"/>
      <c r="C63" s="709"/>
      <c r="D63" s="709"/>
      <c r="E63" s="709"/>
      <c r="F63" s="709"/>
      <c r="G63" s="709"/>
      <c r="H63" s="709"/>
      <c r="I63" s="709"/>
      <c r="J63" s="709"/>
      <c r="K63" s="709"/>
      <c r="L63" s="707"/>
      <c r="M63" s="707"/>
      <c r="N63" s="707"/>
      <c r="O63" s="707"/>
      <c r="P63" s="707"/>
      <c r="Q63" s="637"/>
      <c r="R63" s="637"/>
      <c r="S63" s="637"/>
      <c r="T63" s="637"/>
      <c r="U63" s="637"/>
      <c r="V63" s="290"/>
      <c r="W63" s="641"/>
      <c r="X63" s="641"/>
      <c r="Y63" s="641"/>
      <c r="Z63" s="641"/>
      <c r="AA63" s="641"/>
      <c r="AB63" s="641"/>
      <c r="AC63" s="112" t="str">
        <f>IFERROR(VLOOKUP(Z63,【参考】数式用!$A$4:$B$57,2,FALSE),"")</f>
        <v/>
      </c>
      <c r="AD63" s="288"/>
      <c r="AE63" s="294"/>
      <c r="AF63" s="291">
        <f t="shared" si="0"/>
        <v>0</v>
      </c>
      <c r="AG63" s="527"/>
      <c r="AP63" s="102" t="e">
        <f>IF($L$16="", "", VLOOKUP(Z63,【参考】数式用!$A$2:$O$57,14,FALSE))</f>
        <v>#N/A</v>
      </c>
      <c r="AQ63" s="27" t="e">
        <f>VLOOKUP(Z63,【参考】数式用!$A$2:$O$57,15,FALSE)</f>
        <v>#N/A</v>
      </c>
    </row>
    <row r="64" spans="1:43" ht="49.9" customHeight="1">
      <c r="A64" s="384">
        <f t="shared" si="1"/>
        <v>30</v>
      </c>
      <c r="B64" s="708"/>
      <c r="C64" s="709"/>
      <c r="D64" s="709"/>
      <c r="E64" s="709"/>
      <c r="F64" s="709"/>
      <c r="G64" s="709"/>
      <c r="H64" s="709"/>
      <c r="I64" s="709"/>
      <c r="J64" s="709"/>
      <c r="K64" s="709"/>
      <c r="L64" s="707"/>
      <c r="M64" s="707"/>
      <c r="N64" s="707"/>
      <c r="O64" s="707"/>
      <c r="P64" s="707"/>
      <c r="Q64" s="637"/>
      <c r="R64" s="637"/>
      <c r="S64" s="637"/>
      <c r="T64" s="637"/>
      <c r="U64" s="637"/>
      <c r="V64" s="290"/>
      <c r="W64" s="641"/>
      <c r="X64" s="641"/>
      <c r="Y64" s="641"/>
      <c r="Z64" s="641"/>
      <c r="AA64" s="641"/>
      <c r="AB64" s="641"/>
      <c r="AC64" s="112" t="str">
        <f>IFERROR(VLOOKUP(Z64,【参考】数式用!$A$4:$B$57,2,FALSE),"")</f>
        <v/>
      </c>
      <c r="AD64" s="288"/>
      <c r="AE64" s="294"/>
      <c r="AF64" s="291">
        <f t="shared" si="0"/>
        <v>0</v>
      </c>
      <c r="AG64" s="527"/>
      <c r="AP64" s="102" t="e">
        <f>IF($L$16="", "", VLOOKUP(Z64,【参考】数式用!$A$2:$O$57,14,FALSE))</f>
        <v>#N/A</v>
      </c>
      <c r="AQ64" s="27" t="e">
        <f>VLOOKUP(Z64,【参考】数式用!$A$2:$O$57,15,FALSE)</f>
        <v>#N/A</v>
      </c>
    </row>
    <row r="65" spans="1:43" ht="49.9" customHeight="1">
      <c r="A65" s="384">
        <f t="shared" si="1"/>
        <v>31</v>
      </c>
      <c r="B65" s="708"/>
      <c r="C65" s="709"/>
      <c r="D65" s="709"/>
      <c r="E65" s="709"/>
      <c r="F65" s="709"/>
      <c r="G65" s="709"/>
      <c r="H65" s="709"/>
      <c r="I65" s="709"/>
      <c r="J65" s="709"/>
      <c r="K65" s="709"/>
      <c r="L65" s="707"/>
      <c r="M65" s="707"/>
      <c r="N65" s="707"/>
      <c r="O65" s="707"/>
      <c r="P65" s="707"/>
      <c r="Q65" s="637"/>
      <c r="R65" s="637"/>
      <c r="S65" s="637"/>
      <c r="T65" s="637"/>
      <c r="U65" s="637"/>
      <c r="V65" s="290"/>
      <c r="W65" s="641"/>
      <c r="X65" s="641"/>
      <c r="Y65" s="641"/>
      <c r="Z65" s="641"/>
      <c r="AA65" s="641"/>
      <c r="AB65" s="641"/>
      <c r="AC65" s="112" t="str">
        <f>IFERROR(VLOOKUP(Z65,【参考】数式用!$A$4:$B$57,2,FALSE),"")</f>
        <v/>
      </c>
      <c r="AD65" s="288"/>
      <c r="AE65" s="294"/>
      <c r="AF65" s="291">
        <f t="shared" si="0"/>
        <v>0</v>
      </c>
      <c r="AG65" s="527"/>
      <c r="AP65" s="102" t="e">
        <f>IF($L$16="", "", VLOOKUP(Z65,【参考】数式用!$A$2:$O$57,14,FALSE))</f>
        <v>#N/A</v>
      </c>
      <c r="AQ65" s="27" t="e">
        <f>VLOOKUP(Z65,【参考】数式用!$A$2:$O$57,15,FALSE)</f>
        <v>#N/A</v>
      </c>
    </row>
    <row r="66" spans="1:43" ht="49.9" customHeight="1">
      <c r="A66" s="384">
        <f t="shared" si="1"/>
        <v>32</v>
      </c>
      <c r="B66" s="708"/>
      <c r="C66" s="709"/>
      <c r="D66" s="709"/>
      <c r="E66" s="709"/>
      <c r="F66" s="709"/>
      <c r="G66" s="709"/>
      <c r="H66" s="709"/>
      <c r="I66" s="709"/>
      <c r="J66" s="709"/>
      <c r="K66" s="709"/>
      <c r="L66" s="707"/>
      <c r="M66" s="707"/>
      <c r="N66" s="707"/>
      <c r="O66" s="707"/>
      <c r="P66" s="707"/>
      <c r="Q66" s="637"/>
      <c r="R66" s="637"/>
      <c r="S66" s="637"/>
      <c r="T66" s="637"/>
      <c r="U66" s="637"/>
      <c r="V66" s="290"/>
      <c r="W66" s="641"/>
      <c r="X66" s="641"/>
      <c r="Y66" s="641"/>
      <c r="Z66" s="641"/>
      <c r="AA66" s="641"/>
      <c r="AB66" s="641"/>
      <c r="AC66" s="112" t="str">
        <f>IFERROR(VLOOKUP(Z66,【参考】数式用!$A$4:$B$57,2,FALSE),"")</f>
        <v/>
      </c>
      <c r="AD66" s="288"/>
      <c r="AE66" s="294"/>
      <c r="AF66" s="291">
        <f t="shared" si="0"/>
        <v>0</v>
      </c>
      <c r="AG66" s="527"/>
      <c r="AP66" s="102" t="e">
        <f>IF($L$16="", "", VLOOKUP(Z66,【参考】数式用!$A$2:$O$57,14,FALSE))</f>
        <v>#N/A</v>
      </c>
      <c r="AQ66" s="27" t="e">
        <f>VLOOKUP(Z66,【参考】数式用!$A$2:$O$57,15,FALSE)</f>
        <v>#N/A</v>
      </c>
    </row>
    <row r="67" spans="1:43" ht="49.9" customHeight="1">
      <c r="A67" s="384">
        <f t="shared" si="1"/>
        <v>33</v>
      </c>
      <c r="B67" s="708"/>
      <c r="C67" s="709"/>
      <c r="D67" s="709"/>
      <c r="E67" s="709"/>
      <c r="F67" s="709"/>
      <c r="G67" s="709"/>
      <c r="H67" s="709"/>
      <c r="I67" s="709"/>
      <c r="J67" s="709"/>
      <c r="K67" s="709"/>
      <c r="L67" s="707"/>
      <c r="M67" s="707"/>
      <c r="N67" s="707"/>
      <c r="O67" s="707"/>
      <c r="P67" s="707"/>
      <c r="Q67" s="637"/>
      <c r="R67" s="637"/>
      <c r="S67" s="637"/>
      <c r="T67" s="637"/>
      <c r="U67" s="637"/>
      <c r="V67" s="290"/>
      <c r="W67" s="641"/>
      <c r="X67" s="641"/>
      <c r="Y67" s="641"/>
      <c r="Z67" s="641"/>
      <c r="AA67" s="641"/>
      <c r="AB67" s="641"/>
      <c r="AC67" s="112" t="str">
        <f>IFERROR(VLOOKUP(Z67,【参考】数式用!$A$4:$B$57,2,FALSE),"")</f>
        <v/>
      </c>
      <c r="AD67" s="288"/>
      <c r="AE67" s="294"/>
      <c r="AF67" s="291">
        <f t="shared" si="0"/>
        <v>0</v>
      </c>
      <c r="AG67" s="527"/>
      <c r="AP67" s="102" t="e">
        <f>IF($L$16="", "", VLOOKUP(Z67,【参考】数式用!$A$2:$O$57,14,FALSE))</f>
        <v>#N/A</v>
      </c>
      <c r="AQ67" s="27" t="e">
        <f>VLOOKUP(Z67,【参考】数式用!$A$2:$O$57,15,FALSE)</f>
        <v>#N/A</v>
      </c>
    </row>
    <row r="68" spans="1:43" ht="49.9" customHeight="1">
      <c r="A68" s="384">
        <f t="shared" si="1"/>
        <v>34</v>
      </c>
      <c r="B68" s="708"/>
      <c r="C68" s="709"/>
      <c r="D68" s="709"/>
      <c r="E68" s="709"/>
      <c r="F68" s="709"/>
      <c r="G68" s="709"/>
      <c r="H68" s="709"/>
      <c r="I68" s="709"/>
      <c r="J68" s="709"/>
      <c r="K68" s="709"/>
      <c r="L68" s="707"/>
      <c r="M68" s="707"/>
      <c r="N68" s="707"/>
      <c r="O68" s="707"/>
      <c r="P68" s="707"/>
      <c r="Q68" s="637"/>
      <c r="R68" s="637"/>
      <c r="S68" s="637"/>
      <c r="T68" s="637"/>
      <c r="U68" s="637"/>
      <c r="V68" s="290"/>
      <c r="W68" s="641"/>
      <c r="X68" s="641"/>
      <c r="Y68" s="641"/>
      <c r="Z68" s="641"/>
      <c r="AA68" s="641"/>
      <c r="AB68" s="641"/>
      <c r="AC68" s="112" t="str">
        <f>IFERROR(VLOOKUP(Z68,【参考】数式用!$A$4:$B$57,2,FALSE),"")</f>
        <v/>
      </c>
      <c r="AD68" s="288"/>
      <c r="AE68" s="294"/>
      <c r="AF68" s="291">
        <f t="shared" si="0"/>
        <v>0</v>
      </c>
      <c r="AG68" s="527"/>
      <c r="AP68" s="102" t="e">
        <f>IF($L$16="", "", VLOOKUP(Z68,【参考】数式用!$A$2:$O$57,14,FALSE))</f>
        <v>#N/A</v>
      </c>
      <c r="AQ68" s="27" t="e">
        <f>VLOOKUP(Z68,【参考】数式用!$A$2:$O$57,15,FALSE)</f>
        <v>#N/A</v>
      </c>
    </row>
    <row r="69" spans="1:43" ht="49.9" customHeight="1">
      <c r="A69" s="384">
        <f t="shared" si="1"/>
        <v>35</v>
      </c>
      <c r="B69" s="708"/>
      <c r="C69" s="709"/>
      <c r="D69" s="709"/>
      <c r="E69" s="709"/>
      <c r="F69" s="709"/>
      <c r="G69" s="709"/>
      <c r="H69" s="709"/>
      <c r="I69" s="709"/>
      <c r="J69" s="709"/>
      <c r="K69" s="709"/>
      <c r="L69" s="707"/>
      <c r="M69" s="707"/>
      <c r="N69" s="707"/>
      <c r="O69" s="707"/>
      <c r="P69" s="707"/>
      <c r="Q69" s="637"/>
      <c r="R69" s="637"/>
      <c r="S69" s="637"/>
      <c r="T69" s="637"/>
      <c r="U69" s="637"/>
      <c r="V69" s="290"/>
      <c r="W69" s="641"/>
      <c r="X69" s="641"/>
      <c r="Y69" s="641"/>
      <c r="Z69" s="641"/>
      <c r="AA69" s="641"/>
      <c r="AB69" s="641"/>
      <c r="AC69" s="112" t="str">
        <f>IFERROR(VLOOKUP(Z69,【参考】数式用!$A$4:$B$57,2,FALSE),"")</f>
        <v/>
      </c>
      <c r="AD69" s="288"/>
      <c r="AE69" s="294"/>
      <c r="AF69" s="291">
        <f t="shared" si="0"/>
        <v>0</v>
      </c>
      <c r="AG69" s="527"/>
      <c r="AP69" s="102" t="e">
        <f>IF($L$16="", "", VLOOKUP(Z69,【参考】数式用!$A$2:$O$57,14,FALSE))</f>
        <v>#N/A</v>
      </c>
      <c r="AQ69" s="27" t="e">
        <f>VLOOKUP(Z69,【参考】数式用!$A$2:$O$57,15,FALSE)</f>
        <v>#N/A</v>
      </c>
    </row>
    <row r="70" spans="1:43" ht="49.9" customHeight="1">
      <c r="A70" s="384">
        <f t="shared" si="1"/>
        <v>36</v>
      </c>
      <c r="B70" s="708"/>
      <c r="C70" s="709"/>
      <c r="D70" s="709"/>
      <c r="E70" s="709"/>
      <c r="F70" s="709"/>
      <c r="G70" s="709"/>
      <c r="H70" s="709"/>
      <c r="I70" s="709"/>
      <c r="J70" s="709"/>
      <c r="K70" s="709"/>
      <c r="L70" s="707"/>
      <c r="M70" s="707"/>
      <c r="N70" s="707"/>
      <c r="O70" s="707"/>
      <c r="P70" s="707"/>
      <c r="Q70" s="637"/>
      <c r="R70" s="637"/>
      <c r="S70" s="637"/>
      <c r="T70" s="637"/>
      <c r="U70" s="637"/>
      <c r="V70" s="290"/>
      <c r="W70" s="641"/>
      <c r="X70" s="641"/>
      <c r="Y70" s="641"/>
      <c r="Z70" s="641"/>
      <c r="AA70" s="641"/>
      <c r="AB70" s="641"/>
      <c r="AC70" s="112" t="str">
        <f>IFERROR(VLOOKUP(Z70,【参考】数式用!$A$4:$B$57,2,FALSE),"")</f>
        <v/>
      </c>
      <c r="AD70" s="288"/>
      <c r="AE70" s="294"/>
      <c r="AF70" s="291">
        <f t="shared" si="0"/>
        <v>0</v>
      </c>
      <c r="AG70" s="527"/>
      <c r="AP70" s="102" t="e">
        <f>IF($L$16="", "", VLOOKUP(Z70,【参考】数式用!$A$2:$O$57,14,FALSE))</f>
        <v>#N/A</v>
      </c>
      <c r="AQ70" s="27" t="e">
        <f>VLOOKUP(Z70,【参考】数式用!$A$2:$O$57,15,FALSE)</f>
        <v>#N/A</v>
      </c>
    </row>
    <row r="71" spans="1:43" ht="49.9" customHeight="1">
      <c r="A71" s="384">
        <f t="shared" si="1"/>
        <v>37</v>
      </c>
      <c r="B71" s="708"/>
      <c r="C71" s="709"/>
      <c r="D71" s="709"/>
      <c r="E71" s="709"/>
      <c r="F71" s="709"/>
      <c r="G71" s="709"/>
      <c r="H71" s="709"/>
      <c r="I71" s="709"/>
      <c r="J71" s="709"/>
      <c r="K71" s="709"/>
      <c r="L71" s="707"/>
      <c r="M71" s="707"/>
      <c r="N71" s="707"/>
      <c r="O71" s="707"/>
      <c r="P71" s="707"/>
      <c r="Q71" s="637"/>
      <c r="R71" s="637"/>
      <c r="S71" s="637"/>
      <c r="T71" s="637"/>
      <c r="U71" s="637"/>
      <c r="V71" s="290"/>
      <c r="W71" s="641"/>
      <c r="X71" s="641"/>
      <c r="Y71" s="641"/>
      <c r="Z71" s="641"/>
      <c r="AA71" s="641"/>
      <c r="AB71" s="641"/>
      <c r="AC71" s="112" t="str">
        <f>IFERROR(VLOOKUP(Z71,【参考】数式用!$A$4:$B$57,2,FALSE),"")</f>
        <v/>
      </c>
      <c r="AD71" s="288"/>
      <c r="AE71" s="294"/>
      <c r="AF71" s="291">
        <f t="shared" si="0"/>
        <v>0</v>
      </c>
      <c r="AG71" s="527"/>
      <c r="AP71" s="102" t="e">
        <f>IF($L$16="", "", VLOOKUP(Z71,【参考】数式用!$A$2:$O$57,14,FALSE))</f>
        <v>#N/A</v>
      </c>
      <c r="AQ71" s="27" t="e">
        <f>VLOOKUP(Z71,【参考】数式用!$A$2:$O$57,15,FALSE)</f>
        <v>#N/A</v>
      </c>
    </row>
    <row r="72" spans="1:43" ht="49.9" customHeight="1">
      <c r="A72" s="384">
        <f t="shared" si="1"/>
        <v>38</v>
      </c>
      <c r="B72" s="708"/>
      <c r="C72" s="709"/>
      <c r="D72" s="709"/>
      <c r="E72" s="709"/>
      <c r="F72" s="709"/>
      <c r="G72" s="709"/>
      <c r="H72" s="709"/>
      <c r="I72" s="709"/>
      <c r="J72" s="709"/>
      <c r="K72" s="709"/>
      <c r="L72" s="707"/>
      <c r="M72" s="707"/>
      <c r="N72" s="707"/>
      <c r="O72" s="707"/>
      <c r="P72" s="707"/>
      <c r="Q72" s="637"/>
      <c r="R72" s="637"/>
      <c r="S72" s="637"/>
      <c r="T72" s="637"/>
      <c r="U72" s="637"/>
      <c r="V72" s="290"/>
      <c r="W72" s="641"/>
      <c r="X72" s="641"/>
      <c r="Y72" s="641"/>
      <c r="Z72" s="641"/>
      <c r="AA72" s="641"/>
      <c r="AB72" s="641"/>
      <c r="AC72" s="112" t="str">
        <f>IFERROR(VLOOKUP(Z72,【参考】数式用!$A$4:$B$57,2,FALSE),"")</f>
        <v/>
      </c>
      <c r="AD72" s="288"/>
      <c r="AE72" s="294"/>
      <c r="AF72" s="291">
        <f t="shared" si="0"/>
        <v>0</v>
      </c>
      <c r="AG72" s="527"/>
      <c r="AP72" s="102" t="e">
        <f>IF($L$16="", "", VLOOKUP(Z72,【参考】数式用!$A$2:$O$57,14,FALSE))</f>
        <v>#N/A</v>
      </c>
      <c r="AQ72" s="27" t="e">
        <f>VLOOKUP(Z72,【参考】数式用!$A$2:$O$57,15,FALSE)</f>
        <v>#N/A</v>
      </c>
    </row>
    <row r="73" spans="1:43" ht="49.9" customHeight="1">
      <c r="A73" s="384">
        <f t="shared" si="1"/>
        <v>39</v>
      </c>
      <c r="B73" s="708"/>
      <c r="C73" s="709"/>
      <c r="D73" s="709"/>
      <c r="E73" s="709"/>
      <c r="F73" s="709"/>
      <c r="G73" s="709"/>
      <c r="H73" s="709"/>
      <c r="I73" s="709"/>
      <c r="J73" s="709"/>
      <c r="K73" s="709"/>
      <c r="L73" s="707"/>
      <c r="M73" s="707"/>
      <c r="N73" s="707"/>
      <c r="O73" s="707"/>
      <c r="P73" s="707"/>
      <c r="Q73" s="637"/>
      <c r="R73" s="637"/>
      <c r="S73" s="637"/>
      <c r="T73" s="637"/>
      <c r="U73" s="637"/>
      <c r="V73" s="290"/>
      <c r="W73" s="641"/>
      <c r="X73" s="641"/>
      <c r="Y73" s="641"/>
      <c r="Z73" s="641"/>
      <c r="AA73" s="641"/>
      <c r="AB73" s="641"/>
      <c r="AC73" s="112" t="str">
        <f>IFERROR(VLOOKUP(Z73,【参考】数式用!$A$4:$B$57,2,FALSE),"")</f>
        <v/>
      </c>
      <c r="AD73" s="288"/>
      <c r="AE73" s="294"/>
      <c r="AF73" s="291">
        <f t="shared" si="0"/>
        <v>0</v>
      </c>
      <c r="AG73" s="527"/>
      <c r="AP73" s="102" t="e">
        <f>IF($L$16="", "", VLOOKUP(Z73,【参考】数式用!$A$2:$O$57,14,FALSE))</f>
        <v>#N/A</v>
      </c>
      <c r="AQ73" s="27" t="e">
        <f>VLOOKUP(Z73,【参考】数式用!$A$2:$O$57,15,FALSE)</f>
        <v>#N/A</v>
      </c>
    </row>
    <row r="74" spans="1:43" ht="49.9" customHeight="1">
      <c r="A74" s="384">
        <f t="shared" si="1"/>
        <v>40</v>
      </c>
      <c r="B74" s="708"/>
      <c r="C74" s="709"/>
      <c r="D74" s="709"/>
      <c r="E74" s="709"/>
      <c r="F74" s="709"/>
      <c r="G74" s="709"/>
      <c r="H74" s="709"/>
      <c r="I74" s="709"/>
      <c r="J74" s="709"/>
      <c r="K74" s="709"/>
      <c r="L74" s="707"/>
      <c r="M74" s="707"/>
      <c r="N74" s="707"/>
      <c r="O74" s="707"/>
      <c r="P74" s="707"/>
      <c r="Q74" s="637"/>
      <c r="R74" s="637"/>
      <c r="S74" s="637"/>
      <c r="T74" s="637"/>
      <c r="U74" s="637"/>
      <c r="V74" s="290"/>
      <c r="W74" s="641"/>
      <c r="X74" s="641"/>
      <c r="Y74" s="641"/>
      <c r="Z74" s="641"/>
      <c r="AA74" s="641"/>
      <c r="AB74" s="641"/>
      <c r="AC74" s="112" t="str">
        <f>IFERROR(VLOOKUP(Z74,【参考】数式用!$A$4:$B$57,2,FALSE),"")</f>
        <v/>
      </c>
      <c r="AD74" s="288"/>
      <c r="AE74" s="294"/>
      <c r="AF74" s="291">
        <f t="shared" si="0"/>
        <v>0</v>
      </c>
      <c r="AG74" s="527"/>
      <c r="AP74" s="102" t="e">
        <f>IF($L$16="", "", VLOOKUP(Z74,【参考】数式用!$A$2:$O$57,14,FALSE))</f>
        <v>#N/A</v>
      </c>
      <c r="AQ74" s="27" t="e">
        <f>VLOOKUP(Z74,【参考】数式用!$A$2:$O$57,15,FALSE)</f>
        <v>#N/A</v>
      </c>
    </row>
    <row r="75" spans="1:43" ht="49.9" customHeight="1">
      <c r="A75" s="384">
        <f t="shared" si="1"/>
        <v>41</v>
      </c>
      <c r="B75" s="708"/>
      <c r="C75" s="709"/>
      <c r="D75" s="709"/>
      <c r="E75" s="709"/>
      <c r="F75" s="709"/>
      <c r="G75" s="709"/>
      <c r="H75" s="709"/>
      <c r="I75" s="709"/>
      <c r="J75" s="709"/>
      <c r="K75" s="709"/>
      <c r="L75" s="707"/>
      <c r="M75" s="707"/>
      <c r="N75" s="707"/>
      <c r="O75" s="707"/>
      <c r="P75" s="707"/>
      <c r="Q75" s="637"/>
      <c r="R75" s="637"/>
      <c r="S75" s="637"/>
      <c r="T75" s="637"/>
      <c r="U75" s="637"/>
      <c r="V75" s="290"/>
      <c r="W75" s="641"/>
      <c r="X75" s="641"/>
      <c r="Y75" s="641"/>
      <c r="Z75" s="641"/>
      <c r="AA75" s="641"/>
      <c r="AB75" s="641"/>
      <c r="AC75" s="112" t="str">
        <f>IFERROR(VLOOKUP(Z75,【参考】数式用!$A$4:$B$57,2,FALSE),"")</f>
        <v/>
      </c>
      <c r="AD75" s="288"/>
      <c r="AE75" s="294"/>
      <c r="AF75" s="291">
        <f t="shared" si="0"/>
        <v>0</v>
      </c>
      <c r="AG75" s="527"/>
      <c r="AP75" s="102" t="e">
        <f>IF($L$16="", "", VLOOKUP(Z75,【参考】数式用!$A$2:$O$57,14,FALSE))</f>
        <v>#N/A</v>
      </c>
      <c r="AQ75" s="27" t="e">
        <f>VLOOKUP(Z75,【参考】数式用!$A$2:$O$57,15,FALSE)</f>
        <v>#N/A</v>
      </c>
    </row>
    <row r="76" spans="1:43" ht="49.9" customHeight="1">
      <c r="A76" s="384">
        <f t="shared" si="1"/>
        <v>42</v>
      </c>
      <c r="B76" s="708"/>
      <c r="C76" s="709"/>
      <c r="D76" s="709"/>
      <c r="E76" s="709"/>
      <c r="F76" s="709"/>
      <c r="G76" s="709"/>
      <c r="H76" s="709"/>
      <c r="I76" s="709"/>
      <c r="J76" s="709"/>
      <c r="K76" s="709"/>
      <c r="L76" s="707"/>
      <c r="M76" s="707"/>
      <c r="N76" s="707"/>
      <c r="O76" s="707"/>
      <c r="P76" s="707"/>
      <c r="Q76" s="637"/>
      <c r="R76" s="637"/>
      <c r="S76" s="637"/>
      <c r="T76" s="637"/>
      <c r="U76" s="637"/>
      <c r="V76" s="290"/>
      <c r="W76" s="641"/>
      <c r="X76" s="641"/>
      <c r="Y76" s="641"/>
      <c r="Z76" s="641"/>
      <c r="AA76" s="641"/>
      <c r="AB76" s="641"/>
      <c r="AC76" s="112" t="str">
        <f>IFERROR(VLOOKUP(Z76,【参考】数式用!$A$4:$B$57,2,FALSE),"")</f>
        <v/>
      </c>
      <c r="AD76" s="288"/>
      <c r="AE76" s="294"/>
      <c r="AF76" s="291">
        <f t="shared" si="0"/>
        <v>0</v>
      </c>
      <c r="AG76" s="527"/>
      <c r="AP76" s="102" t="e">
        <f>IF($L$16="", "", VLOOKUP(Z76,【参考】数式用!$A$2:$O$57,14,FALSE))</f>
        <v>#N/A</v>
      </c>
      <c r="AQ76" s="27" t="e">
        <f>VLOOKUP(Z76,【参考】数式用!$A$2:$O$57,15,FALSE)</f>
        <v>#N/A</v>
      </c>
    </row>
    <row r="77" spans="1:43" ht="49.9" customHeight="1">
      <c r="A77" s="384">
        <f t="shared" si="1"/>
        <v>43</v>
      </c>
      <c r="B77" s="708"/>
      <c r="C77" s="709"/>
      <c r="D77" s="709"/>
      <c r="E77" s="709"/>
      <c r="F77" s="709"/>
      <c r="G77" s="709"/>
      <c r="H77" s="709"/>
      <c r="I77" s="709"/>
      <c r="J77" s="709"/>
      <c r="K77" s="709"/>
      <c r="L77" s="707"/>
      <c r="M77" s="707"/>
      <c r="N77" s="707"/>
      <c r="O77" s="707"/>
      <c r="P77" s="707"/>
      <c r="Q77" s="637"/>
      <c r="R77" s="637"/>
      <c r="S77" s="637"/>
      <c r="T77" s="637"/>
      <c r="U77" s="637"/>
      <c r="V77" s="290"/>
      <c r="W77" s="641"/>
      <c r="X77" s="641"/>
      <c r="Y77" s="641"/>
      <c r="Z77" s="641"/>
      <c r="AA77" s="641"/>
      <c r="AB77" s="641"/>
      <c r="AC77" s="112" t="str">
        <f>IFERROR(VLOOKUP(Z77,【参考】数式用!$A$4:$B$57,2,FALSE),"")</f>
        <v/>
      </c>
      <c r="AD77" s="288"/>
      <c r="AE77" s="294"/>
      <c r="AF77" s="291">
        <f t="shared" si="0"/>
        <v>0</v>
      </c>
      <c r="AG77" s="527"/>
      <c r="AP77" s="102" t="e">
        <f>IF($L$16="", "", VLOOKUP(Z77,【参考】数式用!$A$2:$O$57,14,FALSE))</f>
        <v>#N/A</v>
      </c>
      <c r="AQ77" s="27" t="e">
        <f>VLOOKUP(Z77,【参考】数式用!$A$2:$O$57,15,FALSE)</f>
        <v>#N/A</v>
      </c>
    </row>
    <row r="78" spans="1:43" ht="49.9" customHeight="1">
      <c r="A78" s="384">
        <f t="shared" si="1"/>
        <v>44</v>
      </c>
      <c r="B78" s="708"/>
      <c r="C78" s="709"/>
      <c r="D78" s="709"/>
      <c r="E78" s="709"/>
      <c r="F78" s="709"/>
      <c r="G78" s="709"/>
      <c r="H78" s="709"/>
      <c r="I78" s="709"/>
      <c r="J78" s="709"/>
      <c r="K78" s="709"/>
      <c r="L78" s="707"/>
      <c r="M78" s="707"/>
      <c r="N78" s="707"/>
      <c r="O78" s="707"/>
      <c r="P78" s="707"/>
      <c r="Q78" s="637"/>
      <c r="R78" s="637"/>
      <c r="S78" s="637"/>
      <c r="T78" s="637"/>
      <c r="U78" s="637"/>
      <c r="V78" s="290"/>
      <c r="W78" s="641"/>
      <c r="X78" s="641"/>
      <c r="Y78" s="641"/>
      <c r="Z78" s="641"/>
      <c r="AA78" s="641"/>
      <c r="AB78" s="641"/>
      <c r="AC78" s="112" t="str">
        <f>IFERROR(VLOOKUP(Z78,【参考】数式用!$A$4:$B$57,2,FALSE),"")</f>
        <v/>
      </c>
      <c r="AD78" s="288"/>
      <c r="AE78" s="294"/>
      <c r="AF78" s="291">
        <f t="shared" si="0"/>
        <v>0</v>
      </c>
      <c r="AG78" s="527"/>
      <c r="AP78" s="102" t="e">
        <f>IF($L$16="", "", VLOOKUP(Z78,【参考】数式用!$A$2:$O$57,14,FALSE))</f>
        <v>#N/A</v>
      </c>
      <c r="AQ78" s="27" t="e">
        <f>VLOOKUP(Z78,【参考】数式用!$A$2:$O$57,15,FALSE)</f>
        <v>#N/A</v>
      </c>
    </row>
    <row r="79" spans="1:43" ht="49.9" customHeight="1">
      <c r="A79" s="384">
        <f t="shared" si="1"/>
        <v>45</v>
      </c>
      <c r="B79" s="708"/>
      <c r="C79" s="709"/>
      <c r="D79" s="709"/>
      <c r="E79" s="709"/>
      <c r="F79" s="709"/>
      <c r="G79" s="709"/>
      <c r="H79" s="709"/>
      <c r="I79" s="709"/>
      <c r="J79" s="709"/>
      <c r="K79" s="709"/>
      <c r="L79" s="707"/>
      <c r="M79" s="707"/>
      <c r="N79" s="707"/>
      <c r="O79" s="707"/>
      <c r="P79" s="707"/>
      <c r="Q79" s="637"/>
      <c r="R79" s="637"/>
      <c r="S79" s="637"/>
      <c r="T79" s="637"/>
      <c r="U79" s="637"/>
      <c r="V79" s="290"/>
      <c r="W79" s="641"/>
      <c r="X79" s="641"/>
      <c r="Y79" s="641"/>
      <c r="Z79" s="641"/>
      <c r="AA79" s="641"/>
      <c r="AB79" s="641"/>
      <c r="AC79" s="112" t="str">
        <f>IFERROR(VLOOKUP(Z79,【参考】数式用!$A$4:$B$57,2,FALSE),"")</f>
        <v/>
      </c>
      <c r="AD79" s="288"/>
      <c r="AE79" s="294"/>
      <c r="AF79" s="291">
        <f t="shared" si="0"/>
        <v>0</v>
      </c>
      <c r="AG79" s="527"/>
      <c r="AP79" s="102" t="e">
        <f>IF($L$16="", "", VLOOKUP(Z79,【参考】数式用!$A$2:$O$57,14,FALSE))</f>
        <v>#N/A</v>
      </c>
      <c r="AQ79" s="27" t="e">
        <f>VLOOKUP(Z79,【参考】数式用!$A$2:$O$57,15,FALSE)</f>
        <v>#N/A</v>
      </c>
    </row>
    <row r="80" spans="1:43" ht="49.9" customHeight="1">
      <c r="A80" s="384">
        <f t="shared" si="1"/>
        <v>46</v>
      </c>
      <c r="B80" s="708"/>
      <c r="C80" s="709"/>
      <c r="D80" s="709"/>
      <c r="E80" s="709"/>
      <c r="F80" s="709"/>
      <c r="G80" s="709"/>
      <c r="H80" s="709"/>
      <c r="I80" s="709"/>
      <c r="J80" s="709"/>
      <c r="K80" s="709"/>
      <c r="L80" s="707"/>
      <c r="M80" s="707"/>
      <c r="N80" s="707"/>
      <c r="O80" s="707"/>
      <c r="P80" s="707"/>
      <c r="Q80" s="637"/>
      <c r="R80" s="637"/>
      <c r="S80" s="637"/>
      <c r="T80" s="637"/>
      <c r="U80" s="637"/>
      <c r="V80" s="290"/>
      <c r="W80" s="641"/>
      <c r="X80" s="641"/>
      <c r="Y80" s="641"/>
      <c r="Z80" s="641"/>
      <c r="AA80" s="641"/>
      <c r="AB80" s="641"/>
      <c r="AC80" s="112" t="str">
        <f>IFERROR(VLOOKUP(Z80,【参考】数式用!$A$4:$B$57,2,FALSE),"")</f>
        <v/>
      </c>
      <c r="AD80" s="288"/>
      <c r="AE80" s="294"/>
      <c r="AF80" s="291">
        <f t="shared" si="0"/>
        <v>0</v>
      </c>
      <c r="AG80" s="527"/>
      <c r="AP80" s="102" t="e">
        <f>IF($L$16="", "", VLOOKUP(Z80,【参考】数式用!$A$2:$O$57,14,FALSE))</f>
        <v>#N/A</v>
      </c>
      <c r="AQ80" s="27" t="e">
        <f>VLOOKUP(Z80,【参考】数式用!$A$2:$O$57,15,FALSE)</f>
        <v>#N/A</v>
      </c>
    </row>
    <row r="81" spans="1:43" ht="49.9" customHeight="1">
      <c r="A81" s="384">
        <f t="shared" si="1"/>
        <v>47</v>
      </c>
      <c r="B81" s="708"/>
      <c r="C81" s="709"/>
      <c r="D81" s="709"/>
      <c r="E81" s="709"/>
      <c r="F81" s="709"/>
      <c r="G81" s="709"/>
      <c r="H81" s="709"/>
      <c r="I81" s="709"/>
      <c r="J81" s="709"/>
      <c r="K81" s="709"/>
      <c r="L81" s="707"/>
      <c r="M81" s="707"/>
      <c r="N81" s="707"/>
      <c r="O81" s="707"/>
      <c r="P81" s="707"/>
      <c r="Q81" s="637"/>
      <c r="R81" s="637"/>
      <c r="S81" s="637"/>
      <c r="T81" s="637"/>
      <c r="U81" s="637"/>
      <c r="V81" s="290"/>
      <c r="W81" s="641"/>
      <c r="X81" s="641"/>
      <c r="Y81" s="641"/>
      <c r="Z81" s="641"/>
      <c r="AA81" s="641"/>
      <c r="AB81" s="641"/>
      <c r="AC81" s="112" t="str">
        <f>IFERROR(VLOOKUP(Z81,【参考】数式用!$A$4:$B$57,2,FALSE),"")</f>
        <v/>
      </c>
      <c r="AD81" s="288"/>
      <c r="AE81" s="294"/>
      <c r="AF81" s="291">
        <f t="shared" si="0"/>
        <v>0</v>
      </c>
      <c r="AG81" s="527"/>
      <c r="AP81" s="102" t="e">
        <f>IF($L$16="", "", VLOOKUP(Z81,【参考】数式用!$A$2:$O$57,14,FALSE))</f>
        <v>#N/A</v>
      </c>
      <c r="AQ81" s="27" t="e">
        <f>VLOOKUP(Z81,【参考】数式用!$A$2:$O$57,15,FALSE)</f>
        <v>#N/A</v>
      </c>
    </row>
    <row r="82" spans="1:43" ht="49.9" customHeight="1">
      <c r="A82" s="384">
        <f t="shared" si="1"/>
        <v>48</v>
      </c>
      <c r="B82" s="708"/>
      <c r="C82" s="709"/>
      <c r="D82" s="709"/>
      <c r="E82" s="709"/>
      <c r="F82" s="709"/>
      <c r="G82" s="709"/>
      <c r="H82" s="709"/>
      <c r="I82" s="709"/>
      <c r="J82" s="709"/>
      <c r="K82" s="709"/>
      <c r="L82" s="707"/>
      <c r="M82" s="707"/>
      <c r="N82" s="707"/>
      <c r="O82" s="707"/>
      <c r="P82" s="707"/>
      <c r="Q82" s="637"/>
      <c r="R82" s="637"/>
      <c r="S82" s="637"/>
      <c r="T82" s="637"/>
      <c r="U82" s="637"/>
      <c r="V82" s="290"/>
      <c r="W82" s="641"/>
      <c r="X82" s="641"/>
      <c r="Y82" s="641"/>
      <c r="Z82" s="641"/>
      <c r="AA82" s="641"/>
      <c r="AB82" s="641"/>
      <c r="AC82" s="112" t="str">
        <f>IFERROR(VLOOKUP(Z82,【参考】数式用!$A$4:$B$57,2,FALSE),"")</f>
        <v/>
      </c>
      <c r="AD82" s="288"/>
      <c r="AE82" s="294"/>
      <c r="AF82" s="291">
        <f t="shared" si="0"/>
        <v>0</v>
      </c>
      <c r="AG82" s="527"/>
      <c r="AP82" s="102" t="e">
        <f>IF($L$16="", "", VLOOKUP(Z82,【参考】数式用!$A$2:$O$57,14,FALSE))</f>
        <v>#N/A</v>
      </c>
      <c r="AQ82" s="27" t="e">
        <f>VLOOKUP(Z82,【参考】数式用!$A$2:$O$57,15,FALSE)</f>
        <v>#N/A</v>
      </c>
    </row>
    <row r="83" spans="1:43" ht="49.9" customHeight="1">
      <c r="A83" s="384">
        <f t="shared" si="1"/>
        <v>49</v>
      </c>
      <c r="B83" s="708"/>
      <c r="C83" s="709"/>
      <c r="D83" s="709"/>
      <c r="E83" s="709"/>
      <c r="F83" s="709"/>
      <c r="G83" s="709"/>
      <c r="H83" s="709"/>
      <c r="I83" s="709"/>
      <c r="J83" s="709"/>
      <c r="K83" s="709"/>
      <c r="L83" s="707"/>
      <c r="M83" s="707"/>
      <c r="N83" s="707"/>
      <c r="O83" s="707"/>
      <c r="P83" s="707"/>
      <c r="Q83" s="637"/>
      <c r="R83" s="637"/>
      <c r="S83" s="637"/>
      <c r="T83" s="637"/>
      <c r="U83" s="637"/>
      <c r="V83" s="290"/>
      <c r="W83" s="641"/>
      <c r="X83" s="641"/>
      <c r="Y83" s="641"/>
      <c r="Z83" s="641"/>
      <c r="AA83" s="641"/>
      <c r="AB83" s="641"/>
      <c r="AC83" s="112" t="str">
        <f>IFERROR(VLOOKUP(Z83,【参考】数式用!$A$4:$B$57,2,FALSE),"")</f>
        <v/>
      </c>
      <c r="AD83" s="288"/>
      <c r="AE83" s="294"/>
      <c r="AF83" s="291">
        <f t="shared" si="0"/>
        <v>0</v>
      </c>
      <c r="AG83" s="527"/>
      <c r="AP83" s="102" t="e">
        <f>IF($L$16="", "", VLOOKUP(Z83,【参考】数式用!$A$2:$O$57,14,FALSE))</f>
        <v>#N/A</v>
      </c>
      <c r="AQ83" s="27" t="e">
        <f>VLOOKUP(Z83,【参考】数式用!$A$2:$O$57,15,FALSE)</f>
        <v>#N/A</v>
      </c>
    </row>
    <row r="84" spans="1:43" ht="49.9" customHeight="1">
      <c r="A84" s="384">
        <f t="shared" si="1"/>
        <v>50</v>
      </c>
      <c r="B84" s="708"/>
      <c r="C84" s="709"/>
      <c r="D84" s="709"/>
      <c r="E84" s="709"/>
      <c r="F84" s="709"/>
      <c r="G84" s="709"/>
      <c r="H84" s="709"/>
      <c r="I84" s="709"/>
      <c r="J84" s="709"/>
      <c r="K84" s="709"/>
      <c r="L84" s="707"/>
      <c r="M84" s="707"/>
      <c r="N84" s="707"/>
      <c r="O84" s="707"/>
      <c r="P84" s="707"/>
      <c r="Q84" s="637"/>
      <c r="R84" s="637"/>
      <c r="S84" s="637"/>
      <c r="T84" s="637"/>
      <c r="U84" s="637"/>
      <c r="V84" s="290"/>
      <c r="W84" s="641"/>
      <c r="X84" s="641"/>
      <c r="Y84" s="641"/>
      <c r="Z84" s="641"/>
      <c r="AA84" s="641"/>
      <c r="AB84" s="641"/>
      <c r="AC84" s="112" t="str">
        <f>IFERROR(VLOOKUP(Z84,【参考】数式用!$A$4:$B$57,2,FALSE),"")</f>
        <v/>
      </c>
      <c r="AD84" s="288"/>
      <c r="AE84" s="294"/>
      <c r="AF84" s="291">
        <f t="shared" si="0"/>
        <v>0</v>
      </c>
      <c r="AG84" s="527"/>
      <c r="AP84" s="102" t="e">
        <f>IF($L$16="", "", VLOOKUP(Z84,【参考】数式用!$A$2:$O$57,14,FALSE))</f>
        <v>#N/A</v>
      </c>
      <c r="AQ84" s="27" t="e">
        <f>VLOOKUP(Z84,【参考】数式用!$A$2:$O$57,15,FALSE)</f>
        <v>#N/A</v>
      </c>
    </row>
    <row r="85" spans="1:43" ht="49.9" customHeight="1">
      <c r="A85" s="384">
        <f t="shared" si="1"/>
        <v>51</v>
      </c>
      <c r="B85" s="708"/>
      <c r="C85" s="709"/>
      <c r="D85" s="709"/>
      <c r="E85" s="709"/>
      <c r="F85" s="709"/>
      <c r="G85" s="709"/>
      <c r="H85" s="709"/>
      <c r="I85" s="709"/>
      <c r="J85" s="709"/>
      <c r="K85" s="709"/>
      <c r="L85" s="707"/>
      <c r="M85" s="707"/>
      <c r="N85" s="707"/>
      <c r="O85" s="707"/>
      <c r="P85" s="707"/>
      <c r="Q85" s="637"/>
      <c r="R85" s="637"/>
      <c r="S85" s="637"/>
      <c r="T85" s="637"/>
      <c r="U85" s="637"/>
      <c r="V85" s="290"/>
      <c r="W85" s="641"/>
      <c r="X85" s="641"/>
      <c r="Y85" s="641"/>
      <c r="Z85" s="641"/>
      <c r="AA85" s="641"/>
      <c r="AB85" s="641"/>
      <c r="AC85" s="112" t="str">
        <f>IFERROR(VLOOKUP(Z85,【参考】数式用!$A$4:$B$57,2,FALSE),"")</f>
        <v/>
      </c>
      <c r="AD85" s="288"/>
      <c r="AE85" s="294"/>
      <c r="AF85" s="291">
        <f t="shared" si="0"/>
        <v>0</v>
      </c>
      <c r="AG85" s="527"/>
      <c r="AP85" s="102" t="e">
        <f>IF($L$16="", "", VLOOKUP(Z85,【参考】数式用!$A$2:$O$57,14,FALSE))</f>
        <v>#N/A</v>
      </c>
      <c r="AQ85" s="27" t="e">
        <f>VLOOKUP(Z85,【参考】数式用!$A$2:$O$57,15,FALSE)</f>
        <v>#N/A</v>
      </c>
    </row>
    <row r="86" spans="1:43" ht="49.9" customHeight="1">
      <c r="A86" s="384">
        <f t="shared" si="1"/>
        <v>52</v>
      </c>
      <c r="B86" s="708"/>
      <c r="C86" s="709"/>
      <c r="D86" s="709"/>
      <c r="E86" s="709"/>
      <c r="F86" s="709"/>
      <c r="G86" s="709"/>
      <c r="H86" s="709"/>
      <c r="I86" s="709"/>
      <c r="J86" s="709"/>
      <c r="K86" s="709"/>
      <c r="L86" s="707"/>
      <c r="M86" s="707"/>
      <c r="N86" s="707"/>
      <c r="O86" s="707"/>
      <c r="P86" s="707"/>
      <c r="Q86" s="637"/>
      <c r="R86" s="637"/>
      <c r="S86" s="637"/>
      <c r="T86" s="637"/>
      <c r="U86" s="637"/>
      <c r="V86" s="290"/>
      <c r="W86" s="641"/>
      <c r="X86" s="641"/>
      <c r="Y86" s="641"/>
      <c r="Z86" s="641"/>
      <c r="AA86" s="641"/>
      <c r="AB86" s="641"/>
      <c r="AC86" s="112" t="str">
        <f>IFERROR(VLOOKUP(Z86,【参考】数式用!$A$4:$B$57,2,FALSE),"")</f>
        <v/>
      </c>
      <c r="AD86" s="288"/>
      <c r="AE86" s="294"/>
      <c r="AF86" s="291">
        <f t="shared" si="0"/>
        <v>0</v>
      </c>
      <c r="AG86" s="527"/>
      <c r="AP86" s="102" t="e">
        <f>IF($L$16="", "", VLOOKUP(Z86,【参考】数式用!$A$2:$O$57,14,FALSE))</f>
        <v>#N/A</v>
      </c>
      <c r="AQ86" s="27" t="e">
        <f>VLOOKUP(Z86,【参考】数式用!$A$2:$O$57,15,FALSE)</f>
        <v>#N/A</v>
      </c>
    </row>
    <row r="87" spans="1:43" ht="49.9" customHeight="1">
      <c r="A87" s="384">
        <f t="shared" si="1"/>
        <v>53</v>
      </c>
      <c r="B87" s="708"/>
      <c r="C87" s="709"/>
      <c r="D87" s="709"/>
      <c r="E87" s="709"/>
      <c r="F87" s="709"/>
      <c r="G87" s="709"/>
      <c r="H87" s="709"/>
      <c r="I87" s="709"/>
      <c r="J87" s="709"/>
      <c r="K87" s="709"/>
      <c r="L87" s="707"/>
      <c r="M87" s="707"/>
      <c r="N87" s="707"/>
      <c r="O87" s="707"/>
      <c r="P87" s="707"/>
      <c r="Q87" s="637"/>
      <c r="R87" s="637"/>
      <c r="S87" s="637"/>
      <c r="T87" s="637"/>
      <c r="U87" s="637"/>
      <c r="V87" s="290"/>
      <c r="W87" s="641"/>
      <c r="X87" s="641"/>
      <c r="Y87" s="641"/>
      <c r="Z87" s="641"/>
      <c r="AA87" s="641"/>
      <c r="AB87" s="641"/>
      <c r="AC87" s="112" t="str">
        <f>IFERROR(VLOOKUP(Z87,【参考】数式用!$A$4:$B$57,2,FALSE),"")</f>
        <v/>
      </c>
      <c r="AD87" s="288"/>
      <c r="AE87" s="294"/>
      <c r="AF87" s="291">
        <f t="shared" si="0"/>
        <v>0</v>
      </c>
      <c r="AG87" s="527"/>
      <c r="AP87" s="102" t="e">
        <f>IF($L$16="", "", VLOOKUP(Z87,【参考】数式用!$A$2:$O$57,14,FALSE))</f>
        <v>#N/A</v>
      </c>
      <c r="AQ87" s="27" t="e">
        <f>VLOOKUP(Z87,【参考】数式用!$A$2:$O$57,15,FALSE)</f>
        <v>#N/A</v>
      </c>
    </row>
    <row r="88" spans="1:43" ht="49.9" customHeight="1">
      <c r="A88" s="384">
        <f t="shared" si="1"/>
        <v>54</v>
      </c>
      <c r="B88" s="708"/>
      <c r="C88" s="709"/>
      <c r="D88" s="709"/>
      <c r="E88" s="709"/>
      <c r="F88" s="709"/>
      <c r="G88" s="709"/>
      <c r="H88" s="709"/>
      <c r="I88" s="709"/>
      <c r="J88" s="709"/>
      <c r="K88" s="709"/>
      <c r="L88" s="707"/>
      <c r="M88" s="707"/>
      <c r="N88" s="707"/>
      <c r="O88" s="707"/>
      <c r="P88" s="707"/>
      <c r="Q88" s="637"/>
      <c r="R88" s="637"/>
      <c r="S88" s="637"/>
      <c r="T88" s="637"/>
      <c r="U88" s="637"/>
      <c r="V88" s="290"/>
      <c r="W88" s="641"/>
      <c r="X88" s="641"/>
      <c r="Y88" s="641"/>
      <c r="Z88" s="641"/>
      <c r="AA88" s="641"/>
      <c r="AB88" s="641"/>
      <c r="AC88" s="112" t="str">
        <f>IFERROR(VLOOKUP(Z88,【参考】数式用!$A$4:$B$57,2,FALSE),"")</f>
        <v/>
      </c>
      <c r="AD88" s="288"/>
      <c r="AE88" s="294"/>
      <c r="AF88" s="291">
        <f t="shared" si="0"/>
        <v>0</v>
      </c>
      <c r="AG88" s="527"/>
      <c r="AP88" s="102" t="e">
        <f>IF($L$16="", "", VLOOKUP(Z88,【参考】数式用!$A$2:$O$57,14,FALSE))</f>
        <v>#N/A</v>
      </c>
      <c r="AQ88" s="27" t="e">
        <f>VLOOKUP(Z88,【参考】数式用!$A$2:$O$57,15,FALSE)</f>
        <v>#N/A</v>
      </c>
    </row>
    <row r="89" spans="1:43" ht="49.9" customHeight="1">
      <c r="A89" s="384">
        <f t="shared" si="1"/>
        <v>55</v>
      </c>
      <c r="B89" s="708"/>
      <c r="C89" s="709"/>
      <c r="D89" s="709"/>
      <c r="E89" s="709"/>
      <c r="F89" s="709"/>
      <c r="G89" s="709"/>
      <c r="H89" s="709"/>
      <c r="I89" s="709"/>
      <c r="J89" s="709"/>
      <c r="K89" s="709"/>
      <c r="L89" s="707"/>
      <c r="M89" s="707"/>
      <c r="N89" s="707"/>
      <c r="O89" s="707"/>
      <c r="P89" s="707"/>
      <c r="Q89" s="637"/>
      <c r="R89" s="637"/>
      <c r="S89" s="637"/>
      <c r="T89" s="637"/>
      <c r="U89" s="637"/>
      <c r="V89" s="290"/>
      <c r="W89" s="641"/>
      <c r="X89" s="641"/>
      <c r="Y89" s="641"/>
      <c r="Z89" s="641"/>
      <c r="AA89" s="641"/>
      <c r="AB89" s="641"/>
      <c r="AC89" s="112" t="str">
        <f>IFERROR(VLOOKUP(Z89,【参考】数式用!$A$4:$B$57,2,FALSE),"")</f>
        <v/>
      </c>
      <c r="AD89" s="288"/>
      <c r="AE89" s="294"/>
      <c r="AF89" s="291">
        <f t="shared" si="0"/>
        <v>0</v>
      </c>
      <c r="AG89" s="527"/>
      <c r="AP89" s="102" t="e">
        <f>IF($L$16="", "", VLOOKUP(Z89,【参考】数式用!$A$2:$O$57,14,FALSE))</f>
        <v>#N/A</v>
      </c>
      <c r="AQ89" s="27" t="e">
        <f>VLOOKUP(Z89,【参考】数式用!$A$2:$O$57,15,FALSE)</f>
        <v>#N/A</v>
      </c>
    </row>
    <row r="90" spans="1:43" ht="49.9" customHeight="1">
      <c r="A90" s="384">
        <f t="shared" si="1"/>
        <v>56</v>
      </c>
      <c r="B90" s="708"/>
      <c r="C90" s="709"/>
      <c r="D90" s="709"/>
      <c r="E90" s="709"/>
      <c r="F90" s="709"/>
      <c r="G90" s="709"/>
      <c r="H90" s="709"/>
      <c r="I90" s="709"/>
      <c r="J90" s="709"/>
      <c r="K90" s="709"/>
      <c r="L90" s="707"/>
      <c r="M90" s="707"/>
      <c r="N90" s="707"/>
      <c r="O90" s="707"/>
      <c r="P90" s="707"/>
      <c r="Q90" s="637"/>
      <c r="R90" s="637"/>
      <c r="S90" s="637"/>
      <c r="T90" s="637"/>
      <c r="U90" s="637"/>
      <c r="V90" s="290"/>
      <c r="W90" s="641"/>
      <c r="X90" s="641"/>
      <c r="Y90" s="641"/>
      <c r="Z90" s="641"/>
      <c r="AA90" s="641"/>
      <c r="AB90" s="641"/>
      <c r="AC90" s="112" t="str">
        <f>IFERROR(VLOOKUP(Z90,【参考】数式用!$A$4:$B$57,2,FALSE),"")</f>
        <v/>
      </c>
      <c r="AD90" s="288"/>
      <c r="AE90" s="294"/>
      <c r="AF90" s="291">
        <f t="shared" si="0"/>
        <v>0</v>
      </c>
      <c r="AG90" s="527"/>
      <c r="AP90" s="102" t="e">
        <f>IF($L$16="", "", VLOOKUP(Z90,【参考】数式用!$A$2:$O$57,14,FALSE))</f>
        <v>#N/A</v>
      </c>
      <c r="AQ90" s="27" t="e">
        <f>VLOOKUP(Z90,【参考】数式用!$A$2:$O$57,15,FALSE)</f>
        <v>#N/A</v>
      </c>
    </row>
    <row r="91" spans="1:43" ht="49.9" customHeight="1">
      <c r="A91" s="384">
        <f t="shared" si="1"/>
        <v>57</v>
      </c>
      <c r="B91" s="708"/>
      <c r="C91" s="709"/>
      <c r="D91" s="709"/>
      <c r="E91" s="709"/>
      <c r="F91" s="709"/>
      <c r="G91" s="709"/>
      <c r="H91" s="709"/>
      <c r="I91" s="709"/>
      <c r="J91" s="709"/>
      <c r="K91" s="709"/>
      <c r="L91" s="707"/>
      <c r="M91" s="707"/>
      <c r="N91" s="707"/>
      <c r="O91" s="707"/>
      <c r="P91" s="707"/>
      <c r="Q91" s="637"/>
      <c r="R91" s="637"/>
      <c r="S91" s="637"/>
      <c r="T91" s="637"/>
      <c r="U91" s="637"/>
      <c r="V91" s="290"/>
      <c r="W91" s="641"/>
      <c r="X91" s="641"/>
      <c r="Y91" s="641"/>
      <c r="Z91" s="641"/>
      <c r="AA91" s="641"/>
      <c r="AB91" s="641"/>
      <c r="AC91" s="112" t="str">
        <f>IFERROR(VLOOKUP(Z91,【参考】数式用!$A$4:$B$57,2,FALSE),"")</f>
        <v/>
      </c>
      <c r="AD91" s="288"/>
      <c r="AE91" s="294"/>
      <c r="AF91" s="291">
        <f t="shared" si="0"/>
        <v>0</v>
      </c>
      <c r="AG91" s="527"/>
      <c r="AP91" s="102" t="e">
        <f>IF($L$16="", "", VLOOKUP(Z91,【参考】数式用!$A$2:$O$57,14,FALSE))</f>
        <v>#N/A</v>
      </c>
      <c r="AQ91" s="27" t="e">
        <f>VLOOKUP(Z91,【参考】数式用!$A$2:$O$57,15,FALSE)</f>
        <v>#N/A</v>
      </c>
    </row>
    <row r="92" spans="1:43" ht="49.9" customHeight="1">
      <c r="A92" s="384">
        <f t="shared" si="1"/>
        <v>58</v>
      </c>
      <c r="B92" s="708"/>
      <c r="C92" s="709"/>
      <c r="D92" s="709"/>
      <c r="E92" s="709"/>
      <c r="F92" s="709"/>
      <c r="G92" s="709"/>
      <c r="H92" s="709"/>
      <c r="I92" s="709"/>
      <c r="J92" s="709"/>
      <c r="K92" s="709"/>
      <c r="L92" s="707"/>
      <c r="M92" s="707"/>
      <c r="N92" s="707"/>
      <c r="O92" s="707"/>
      <c r="P92" s="707"/>
      <c r="Q92" s="637"/>
      <c r="R92" s="637"/>
      <c r="S92" s="637"/>
      <c r="T92" s="637"/>
      <c r="U92" s="637"/>
      <c r="V92" s="290"/>
      <c r="W92" s="641"/>
      <c r="X92" s="641"/>
      <c r="Y92" s="641"/>
      <c r="Z92" s="641"/>
      <c r="AA92" s="641"/>
      <c r="AB92" s="641"/>
      <c r="AC92" s="112" t="str">
        <f>IFERROR(VLOOKUP(Z92,【参考】数式用!$A$4:$B$57,2,FALSE),"")</f>
        <v/>
      </c>
      <c r="AD92" s="288"/>
      <c r="AE92" s="294"/>
      <c r="AF92" s="291">
        <f t="shared" si="0"/>
        <v>0</v>
      </c>
      <c r="AG92" s="527"/>
      <c r="AP92" s="102" t="e">
        <f>IF($L$16="", "", VLOOKUP(Z92,【参考】数式用!$A$2:$O$57,14,FALSE))</f>
        <v>#N/A</v>
      </c>
      <c r="AQ92" s="27" t="e">
        <f>VLOOKUP(Z92,【参考】数式用!$A$2:$O$57,15,FALSE)</f>
        <v>#N/A</v>
      </c>
    </row>
    <row r="93" spans="1:43" ht="49.9" customHeight="1">
      <c r="A93" s="384">
        <f t="shared" si="1"/>
        <v>59</v>
      </c>
      <c r="B93" s="708"/>
      <c r="C93" s="709"/>
      <c r="D93" s="709"/>
      <c r="E93" s="709"/>
      <c r="F93" s="709"/>
      <c r="G93" s="709"/>
      <c r="H93" s="709"/>
      <c r="I93" s="709"/>
      <c r="J93" s="709"/>
      <c r="K93" s="709"/>
      <c r="L93" s="707"/>
      <c r="M93" s="707"/>
      <c r="N93" s="707"/>
      <c r="O93" s="707"/>
      <c r="P93" s="707"/>
      <c r="Q93" s="637"/>
      <c r="R93" s="637"/>
      <c r="S93" s="637"/>
      <c r="T93" s="637"/>
      <c r="U93" s="637"/>
      <c r="V93" s="290"/>
      <c r="W93" s="641"/>
      <c r="X93" s="641"/>
      <c r="Y93" s="641"/>
      <c r="Z93" s="641"/>
      <c r="AA93" s="641"/>
      <c r="AB93" s="641"/>
      <c r="AC93" s="112" t="str">
        <f>IFERROR(VLOOKUP(Z93,【参考】数式用!$A$4:$B$57,2,FALSE),"")</f>
        <v/>
      </c>
      <c r="AD93" s="288"/>
      <c r="AE93" s="294"/>
      <c r="AF93" s="291">
        <f t="shared" si="0"/>
        <v>0</v>
      </c>
      <c r="AG93" s="527"/>
      <c r="AP93" s="102" t="e">
        <f>IF($L$16="", "", VLOOKUP(Z93,【参考】数式用!$A$2:$O$57,14,FALSE))</f>
        <v>#N/A</v>
      </c>
      <c r="AQ93" s="27" t="e">
        <f>VLOOKUP(Z93,【参考】数式用!$A$2:$O$57,15,FALSE)</f>
        <v>#N/A</v>
      </c>
    </row>
    <row r="94" spans="1:43" ht="49.9" customHeight="1">
      <c r="A94" s="384">
        <f t="shared" si="1"/>
        <v>60</v>
      </c>
      <c r="B94" s="708"/>
      <c r="C94" s="709"/>
      <c r="D94" s="709"/>
      <c r="E94" s="709"/>
      <c r="F94" s="709"/>
      <c r="G94" s="709"/>
      <c r="H94" s="709"/>
      <c r="I94" s="709"/>
      <c r="J94" s="709"/>
      <c r="K94" s="709"/>
      <c r="L94" s="707"/>
      <c r="M94" s="707"/>
      <c r="N94" s="707"/>
      <c r="O94" s="707"/>
      <c r="P94" s="707"/>
      <c r="Q94" s="637"/>
      <c r="R94" s="637"/>
      <c r="S94" s="637"/>
      <c r="T94" s="637"/>
      <c r="U94" s="637"/>
      <c r="V94" s="290"/>
      <c r="W94" s="641"/>
      <c r="X94" s="641"/>
      <c r="Y94" s="641"/>
      <c r="Z94" s="641"/>
      <c r="AA94" s="641"/>
      <c r="AB94" s="641"/>
      <c r="AC94" s="112" t="str">
        <f>IFERROR(VLOOKUP(Z94,【参考】数式用!$A$4:$B$57,2,FALSE),"")</f>
        <v/>
      </c>
      <c r="AD94" s="288"/>
      <c r="AE94" s="294"/>
      <c r="AF94" s="291">
        <f t="shared" si="0"/>
        <v>0</v>
      </c>
      <c r="AG94" s="527"/>
      <c r="AP94" s="102" t="e">
        <f>IF($L$16="", "", VLOOKUP(Z94,【参考】数式用!$A$2:$O$57,14,FALSE))</f>
        <v>#N/A</v>
      </c>
      <c r="AQ94" s="27" t="e">
        <f>VLOOKUP(Z94,【参考】数式用!$A$2:$O$57,15,FALSE)</f>
        <v>#N/A</v>
      </c>
    </row>
    <row r="95" spans="1:43" ht="49.9" customHeight="1">
      <c r="A95" s="384">
        <f t="shared" si="1"/>
        <v>61</v>
      </c>
      <c r="B95" s="708"/>
      <c r="C95" s="709"/>
      <c r="D95" s="709"/>
      <c r="E95" s="709"/>
      <c r="F95" s="709"/>
      <c r="G95" s="709"/>
      <c r="H95" s="709"/>
      <c r="I95" s="709"/>
      <c r="J95" s="709"/>
      <c r="K95" s="709"/>
      <c r="L95" s="707"/>
      <c r="M95" s="707"/>
      <c r="N95" s="707"/>
      <c r="O95" s="707"/>
      <c r="P95" s="707"/>
      <c r="Q95" s="637"/>
      <c r="R95" s="637"/>
      <c r="S95" s="637"/>
      <c r="T95" s="637"/>
      <c r="U95" s="637"/>
      <c r="V95" s="290"/>
      <c r="W95" s="641"/>
      <c r="X95" s="641"/>
      <c r="Y95" s="641"/>
      <c r="Z95" s="641"/>
      <c r="AA95" s="641"/>
      <c r="AB95" s="641"/>
      <c r="AC95" s="112" t="str">
        <f>IFERROR(VLOOKUP(Z95,【参考】数式用!$A$4:$B$57,2,FALSE),"")</f>
        <v/>
      </c>
      <c r="AD95" s="288"/>
      <c r="AE95" s="294"/>
      <c r="AF95" s="291">
        <f t="shared" si="0"/>
        <v>0</v>
      </c>
      <c r="AG95" s="527"/>
      <c r="AP95" s="102" t="e">
        <f>IF($L$16="", "", VLOOKUP(Z95,【参考】数式用!$A$2:$O$57,14,FALSE))</f>
        <v>#N/A</v>
      </c>
      <c r="AQ95" s="27" t="e">
        <f>VLOOKUP(Z95,【参考】数式用!$A$2:$O$57,15,FALSE)</f>
        <v>#N/A</v>
      </c>
    </row>
    <row r="96" spans="1:43" ht="49.9" customHeight="1">
      <c r="A96" s="384">
        <f t="shared" si="1"/>
        <v>62</v>
      </c>
      <c r="B96" s="708"/>
      <c r="C96" s="709"/>
      <c r="D96" s="709"/>
      <c r="E96" s="709"/>
      <c r="F96" s="709"/>
      <c r="G96" s="709"/>
      <c r="H96" s="709"/>
      <c r="I96" s="709"/>
      <c r="J96" s="709"/>
      <c r="K96" s="709"/>
      <c r="L96" s="707"/>
      <c r="M96" s="707"/>
      <c r="N96" s="707"/>
      <c r="O96" s="707"/>
      <c r="P96" s="707"/>
      <c r="Q96" s="637"/>
      <c r="R96" s="637"/>
      <c r="S96" s="637"/>
      <c r="T96" s="637"/>
      <c r="U96" s="637"/>
      <c r="V96" s="290"/>
      <c r="W96" s="641"/>
      <c r="X96" s="641"/>
      <c r="Y96" s="641"/>
      <c r="Z96" s="641"/>
      <c r="AA96" s="641"/>
      <c r="AB96" s="641"/>
      <c r="AC96" s="112" t="str">
        <f>IFERROR(VLOOKUP(Z96,【参考】数式用!$A$4:$B$57,2,FALSE),"")</f>
        <v/>
      </c>
      <c r="AD96" s="288"/>
      <c r="AE96" s="294"/>
      <c r="AF96" s="291">
        <f t="shared" si="0"/>
        <v>0</v>
      </c>
      <c r="AG96" s="527"/>
      <c r="AP96" s="102" t="e">
        <f>IF($L$16="", "", VLOOKUP(Z96,【参考】数式用!$A$2:$O$57,14,FALSE))</f>
        <v>#N/A</v>
      </c>
      <c r="AQ96" s="27" t="e">
        <f>VLOOKUP(Z96,【参考】数式用!$A$2:$O$57,15,FALSE)</f>
        <v>#N/A</v>
      </c>
    </row>
    <row r="97" spans="1:43" ht="49.9" customHeight="1">
      <c r="A97" s="384">
        <f t="shared" si="1"/>
        <v>63</v>
      </c>
      <c r="B97" s="708"/>
      <c r="C97" s="709"/>
      <c r="D97" s="709"/>
      <c r="E97" s="709"/>
      <c r="F97" s="709"/>
      <c r="G97" s="709"/>
      <c r="H97" s="709"/>
      <c r="I97" s="709"/>
      <c r="J97" s="709"/>
      <c r="K97" s="709"/>
      <c r="L97" s="707"/>
      <c r="M97" s="707"/>
      <c r="N97" s="707"/>
      <c r="O97" s="707"/>
      <c r="P97" s="707"/>
      <c r="Q97" s="637"/>
      <c r="R97" s="637"/>
      <c r="S97" s="637"/>
      <c r="T97" s="637"/>
      <c r="U97" s="637"/>
      <c r="V97" s="290"/>
      <c r="W97" s="641"/>
      <c r="X97" s="641"/>
      <c r="Y97" s="641"/>
      <c r="Z97" s="641"/>
      <c r="AA97" s="641"/>
      <c r="AB97" s="641"/>
      <c r="AC97" s="112" t="str">
        <f>IFERROR(VLOOKUP(Z97,【参考】数式用!$A$4:$B$57,2,FALSE),"")</f>
        <v/>
      </c>
      <c r="AD97" s="288"/>
      <c r="AE97" s="294"/>
      <c r="AF97" s="291">
        <f t="shared" si="0"/>
        <v>0</v>
      </c>
      <c r="AG97" s="527"/>
      <c r="AP97" s="102" t="e">
        <f>IF($L$16="", "", VLOOKUP(Z97,【参考】数式用!$A$2:$O$57,14,FALSE))</f>
        <v>#N/A</v>
      </c>
      <c r="AQ97" s="27" t="e">
        <f>VLOOKUP(Z97,【参考】数式用!$A$2:$O$57,15,FALSE)</f>
        <v>#N/A</v>
      </c>
    </row>
    <row r="98" spans="1:43" ht="49.9" customHeight="1">
      <c r="A98" s="384">
        <f t="shared" si="1"/>
        <v>64</v>
      </c>
      <c r="B98" s="708"/>
      <c r="C98" s="709"/>
      <c r="D98" s="709"/>
      <c r="E98" s="709"/>
      <c r="F98" s="709"/>
      <c r="G98" s="709"/>
      <c r="H98" s="709"/>
      <c r="I98" s="709"/>
      <c r="J98" s="709"/>
      <c r="K98" s="709"/>
      <c r="L98" s="707"/>
      <c r="M98" s="707"/>
      <c r="N98" s="707"/>
      <c r="O98" s="707"/>
      <c r="P98" s="707"/>
      <c r="Q98" s="637"/>
      <c r="R98" s="637"/>
      <c r="S98" s="637"/>
      <c r="T98" s="637"/>
      <c r="U98" s="637"/>
      <c r="V98" s="290"/>
      <c r="W98" s="641"/>
      <c r="X98" s="641"/>
      <c r="Y98" s="641"/>
      <c r="Z98" s="641"/>
      <c r="AA98" s="641"/>
      <c r="AB98" s="641"/>
      <c r="AC98" s="112" t="str">
        <f>IFERROR(VLOOKUP(Z98,【参考】数式用!$A$4:$B$57,2,FALSE),"")</f>
        <v/>
      </c>
      <c r="AD98" s="288"/>
      <c r="AE98" s="294"/>
      <c r="AF98" s="291">
        <f t="shared" si="0"/>
        <v>0</v>
      </c>
      <c r="AG98" s="527"/>
      <c r="AP98" s="102" t="e">
        <f>IF($L$16="", "", VLOOKUP(Z98,【参考】数式用!$A$2:$O$57,14,FALSE))</f>
        <v>#N/A</v>
      </c>
      <c r="AQ98" s="27" t="e">
        <f>VLOOKUP(Z98,【参考】数式用!$A$2:$O$57,15,FALSE)</f>
        <v>#N/A</v>
      </c>
    </row>
    <row r="99" spans="1:43" ht="49.9" customHeight="1">
      <c r="A99" s="384">
        <f t="shared" si="1"/>
        <v>65</v>
      </c>
      <c r="B99" s="708"/>
      <c r="C99" s="709"/>
      <c r="D99" s="709"/>
      <c r="E99" s="709"/>
      <c r="F99" s="709"/>
      <c r="G99" s="709"/>
      <c r="H99" s="709"/>
      <c r="I99" s="709"/>
      <c r="J99" s="709"/>
      <c r="K99" s="709"/>
      <c r="L99" s="707"/>
      <c r="M99" s="707"/>
      <c r="N99" s="707"/>
      <c r="O99" s="707"/>
      <c r="P99" s="707"/>
      <c r="Q99" s="637"/>
      <c r="R99" s="637"/>
      <c r="S99" s="637"/>
      <c r="T99" s="637"/>
      <c r="U99" s="637"/>
      <c r="V99" s="290"/>
      <c r="W99" s="641"/>
      <c r="X99" s="641"/>
      <c r="Y99" s="641"/>
      <c r="Z99" s="641"/>
      <c r="AA99" s="641"/>
      <c r="AB99" s="641"/>
      <c r="AC99" s="112" t="str">
        <f>IFERROR(VLOOKUP(Z99,【参考】数式用!$A$4:$B$57,2,FALSE),"")</f>
        <v/>
      </c>
      <c r="AD99" s="288"/>
      <c r="AE99" s="294"/>
      <c r="AF99" s="291">
        <f t="shared" si="0"/>
        <v>0</v>
      </c>
      <c r="AG99" s="527"/>
      <c r="AP99" s="102" t="e">
        <f>IF($L$16="", "", VLOOKUP(Z99,【参考】数式用!$A$2:$O$57,14,FALSE))</f>
        <v>#N/A</v>
      </c>
      <c r="AQ99" s="27" t="e">
        <f>VLOOKUP(Z99,【参考】数式用!$A$2:$O$57,15,FALSE)</f>
        <v>#N/A</v>
      </c>
    </row>
    <row r="100" spans="1:43" ht="49.9" customHeight="1">
      <c r="A100" s="384">
        <f t="shared" si="1"/>
        <v>66</v>
      </c>
      <c r="B100" s="708"/>
      <c r="C100" s="709"/>
      <c r="D100" s="709"/>
      <c r="E100" s="709"/>
      <c r="F100" s="709"/>
      <c r="G100" s="709"/>
      <c r="H100" s="709"/>
      <c r="I100" s="709"/>
      <c r="J100" s="709"/>
      <c r="K100" s="709"/>
      <c r="L100" s="707"/>
      <c r="M100" s="707"/>
      <c r="N100" s="707"/>
      <c r="O100" s="707"/>
      <c r="P100" s="707"/>
      <c r="Q100" s="637"/>
      <c r="R100" s="637"/>
      <c r="S100" s="637"/>
      <c r="T100" s="637"/>
      <c r="U100" s="637"/>
      <c r="V100" s="290"/>
      <c r="W100" s="641"/>
      <c r="X100" s="641"/>
      <c r="Y100" s="641"/>
      <c r="Z100" s="641"/>
      <c r="AA100" s="641"/>
      <c r="AB100" s="641"/>
      <c r="AC100" s="112" t="str">
        <f>IFERROR(VLOOKUP(Z100,【参考】数式用!$A$4:$B$57,2,FALSE),"")</f>
        <v/>
      </c>
      <c r="AD100" s="288"/>
      <c r="AE100" s="294"/>
      <c r="AF100" s="291">
        <f t="shared" si="0"/>
        <v>0</v>
      </c>
      <c r="AG100" s="527"/>
      <c r="AP100" s="102" t="e">
        <f>IF($L$16="", "", VLOOKUP(Z100,【参考】数式用!$A$2:$O$57,14,FALSE))</f>
        <v>#N/A</v>
      </c>
      <c r="AQ100" s="27" t="e">
        <f>VLOOKUP(Z100,【参考】数式用!$A$2:$O$57,15,FALSE)</f>
        <v>#N/A</v>
      </c>
    </row>
    <row r="101" spans="1:43" ht="49.9" customHeight="1">
      <c r="A101" s="384">
        <f t="shared" ref="A101:A135" si="3">A100+1</f>
        <v>67</v>
      </c>
      <c r="B101" s="708"/>
      <c r="C101" s="709"/>
      <c r="D101" s="709"/>
      <c r="E101" s="709"/>
      <c r="F101" s="709"/>
      <c r="G101" s="709"/>
      <c r="H101" s="709"/>
      <c r="I101" s="709"/>
      <c r="J101" s="709"/>
      <c r="K101" s="709"/>
      <c r="L101" s="707"/>
      <c r="M101" s="707"/>
      <c r="N101" s="707"/>
      <c r="O101" s="707"/>
      <c r="P101" s="707"/>
      <c r="Q101" s="637"/>
      <c r="R101" s="637"/>
      <c r="S101" s="637"/>
      <c r="T101" s="637"/>
      <c r="U101" s="637"/>
      <c r="V101" s="290"/>
      <c r="W101" s="641"/>
      <c r="X101" s="641"/>
      <c r="Y101" s="641"/>
      <c r="Z101" s="641"/>
      <c r="AA101" s="641"/>
      <c r="AB101" s="641"/>
      <c r="AC101" s="112" t="str">
        <f>IFERROR(VLOOKUP(Z101,【参考】数式用!$A$4:$B$57,2,FALSE),"")</f>
        <v/>
      </c>
      <c r="AD101" s="288"/>
      <c r="AE101" s="294"/>
      <c r="AF101" s="291">
        <f t="shared" ref="AF101:AF135" si="4">AD101-AE101</f>
        <v>0</v>
      </c>
      <c r="AG101" s="527"/>
      <c r="AP101" s="102" t="e">
        <f>IF($L$16="", "", VLOOKUP(Z101,【参考】数式用!$A$2:$O$57,14,FALSE))</f>
        <v>#N/A</v>
      </c>
      <c r="AQ101" s="27" t="e">
        <f>VLOOKUP(Z101,【参考】数式用!$A$2:$O$57,15,FALSE)</f>
        <v>#N/A</v>
      </c>
    </row>
    <row r="102" spans="1:43" ht="49.9" customHeight="1">
      <c r="A102" s="384">
        <f t="shared" si="3"/>
        <v>68</v>
      </c>
      <c r="B102" s="708"/>
      <c r="C102" s="709"/>
      <c r="D102" s="709"/>
      <c r="E102" s="709"/>
      <c r="F102" s="709"/>
      <c r="G102" s="709"/>
      <c r="H102" s="709"/>
      <c r="I102" s="709"/>
      <c r="J102" s="709"/>
      <c r="K102" s="709"/>
      <c r="L102" s="707"/>
      <c r="M102" s="707"/>
      <c r="N102" s="707"/>
      <c r="O102" s="707"/>
      <c r="P102" s="707"/>
      <c r="Q102" s="637"/>
      <c r="R102" s="637"/>
      <c r="S102" s="637"/>
      <c r="T102" s="637"/>
      <c r="U102" s="637"/>
      <c r="V102" s="290"/>
      <c r="W102" s="641"/>
      <c r="X102" s="641"/>
      <c r="Y102" s="641"/>
      <c r="Z102" s="641"/>
      <c r="AA102" s="641"/>
      <c r="AB102" s="641"/>
      <c r="AC102" s="112" t="str">
        <f>IFERROR(VLOOKUP(Z102,【参考】数式用!$A$4:$B$57,2,FALSE),"")</f>
        <v/>
      </c>
      <c r="AD102" s="288"/>
      <c r="AE102" s="294"/>
      <c r="AF102" s="291">
        <f t="shared" si="4"/>
        <v>0</v>
      </c>
      <c r="AG102" s="527"/>
      <c r="AP102" s="102" t="e">
        <f>IF($L$16="", "", VLOOKUP(Z102,【参考】数式用!$A$2:$O$57,14,FALSE))</f>
        <v>#N/A</v>
      </c>
      <c r="AQ102" s="27" t="e">
        <f>VLOOKUP(Z102,【参考】数式用!$A$2:$O$57,15,FALSE)</f>
        <v>#N/A</v>
      </c>
    </row>
    <row r="103" spans="1:43" ht="49.9" customHeight="1">
      <c r="A103" s="384">
        <f t="shared" si="3"/>
        <v>69</v>
      </c>
      <c r="B103" s="708"/>
      <c r="C103" s="709"/>
      <c r="D103" s="709"/>
      <c r="E103" s="709"/>
      <c r="F103" s="709"/>
      <c r="G103" s="709"/>
      <c r="H103" s="709"/>
      <c r="I103" s="709"/>
      <c r="J103" s="709"/>
      <c r="K103" s="709"/>
      <c r="L103" s="707"/>
      <c r="M103" s="707"/>
      <c r="N103" s="707"/>
      <c r="O103" s="707"/>
      <c r="P103" s="707"/>
      <c r="Q103" s="637"/>
      <c r="R103" s="637"/>
      <c r="S103" s="637"/>
      <c r="T103" s="637"/>
      <c r="U103" s="637"/>
      <c r="V103" s="290"/>
      <c r="W103" s="641"/>
      <c r="X103" s="641"/>
      <c r="Y103" s="641"/>
      <c r="Z103" s="641"/>
      <c r="AA103" s="641"/>
      <c r="AB103" s="641"/>
      <c r="AC103" s="112" t="str">
        <f>IFERROR(VLOOKUP(Z103,【参考】数式用!$A$4:$B$57,2,FALSE),"")</f>
        <v/>
      </c>
      <c r="AD103" s="288"/>
      <c r="AE103" s="294"/>
      <c r="AF103" s="291">
        <f t="shared" si="4"/>
        <v>0</v>
      </c>
      <c r="AG103" s="527"/>
      <c r="AP103" s="102" t="e">
        <f>IF($L$16="", "", VLOOKUP(Z103,【参考】数式用!$A$2:$O$57,14,FALSE))</f>
        <v>#N/A</v>
      </c>
      <c r="AQ103" s="27" t="e">
        <f>VLOOKUP(Z103,【参考】数式用!$A$2:$O$57,15,FALSE)</f>
        <v>#N/A</v>
      </c>
    </row>
    <row r="104" spans="1:43" ht="49.9" customHeight="1">
      <c r="A104" s="384">
        <f t="shared" si="3"/>
        <v>70</v>
      </c>
      <c r="B104" s="708"/>
      <c r="C104" s="709"/>
      <c r="D104" s="709"/>
      <c r="E104" s="709"/>
      <c r="F104" s="709"/>
      <c r="G104" s="709"/>
      <c r="H104" s="709"/>
      <c r="I104" s="709"/>
      <c r="J104" s="709"/>
      <c r="K104" s="709"/>
      <c r="L104" s="707"/>
      <c r="M104" s="707"/>
      <c r="N104" s="707"/>
      <c r="O104" s="707"/>
      <c r="P104" s="707"/>
      <c r="Q104" s="637"/>
      <c r="R104" s="637"/>
      <c r="S104" s="637"/>
      <c r="T104" s="637"/>
      <c r="U104" s="637"/>
      <c r="V104" s="290"/>
      <c r="W104" s="641"/>
      <c r="X104" s="641"/>
      <c r="Y104" s="641"/>
      <c r="Z104" s="641"/>
      <c r="AA104" s="641"/>
      <c r="AB104" s="641"/>
      <c r="AC104" s="112" t="str">
        <f>IFERROR(VLOOKUP(Z104,【参考】数式用!$A$4:$B$57,2,FALSE),"")</f>
        <v/>
      </c>
      <c r="AD104" s="288"/>
      <c r="AE104" s="294"/>
      <c r="AF104" s="291">
        <f t="shared" si="4"/>
        <v>0</v>
      </c>
      <c r="AG104" s="527"/>
      <c r="AP104" s="102" t="e">
        <f>IF($L$16="", "", VLOOKUP(Z104,【参考】数式用!$A$2:$O$57,14,FALSE))</f>
        <v>#N/A</v>
      </c>
      <c r="AQ104" s="27" t="e">
        <f>VLOOKUP(Z104,【参考】数式用!$A$2:$O$57,15,FALSE)</f>
        <v>#N/A</v>
      </c>
    </row>
    <row r="105" spans="1:43" ht="49.9" customHeight="1">
      <c r="A105" s="384">
        <f t="shared" si="3"/>
        <v>71</v>
      </c>
      <c r="B105" s="708"/>
      <c r="C105" s="709"/>
      <c r="D105" s="709"/>
      <c r="E105" s="709"/>
      <c r="F105" s="709"/>
      <c r="G105" s="709"/>
      <c r="H105" s="709"/>
      <c r="I105" s="709"/>
      <c r="J105" s="709"/>
      <c r="K105" s="709"/>
      <c r="L105" s="707"/>
      <c r="M105" s="707"/>
      <c r="N105" s="707"/>
      <c r="O105" s="707"/>
      <c r="P105" s="707"/>
      <c r="Q105" s="637"/>
      <c r="R105" s="637"/>
      <c r="S105" s="637"/>
      <c r="T105" s="637"/>
      <c r="U105" s="637"/>
      <c r="V105" s="290"/>
      <c r="W105" s="641"/>
      <c r="X105" s="641"/>
      <c r="Y105" s="641"/>
      <c r="Z105" s="641"/>
      <c r="AA105" s="641"/>
      <c r="AB105" s="641"/>
      <c r="AC105" s="112" t="str">
        <f>IFERROR(VLOOKUP(Z105,【参考】数式用!$A$4:$B$57,2,FALSE),"")</f>
        <v/>
      </c>
      <c r="AD105" s="288"/>
      <c r="AE105" s="294"/>
      <c r="AF105" s="291">
        <f t="shared" si="4"/>
        <v>0</v>
      </c>
      <c r="AG105" s="527"/>
      <c r="AP105" s="102" t="e">
        <f>IF($L$16="", "", VLOOKUP(Z105,【参考】数式用!$A$2:$O$57,14,FALSE))</f>
        <v>#N/A</v>
      </c>
      <c r="AQ105" s="27" t="e">
        <f>VLOOKUP(Z105,【参考】数式用!$A$2:$O$57,15,FALSE)</f>
        <v>#N/A</v>
      </c>
    </row>
    <row r="106" spans="1:43" ht="49.9" customHeight="1">
      <c r="A106" s="384">
        <f t="shared" si="3"/>
        <v>72</v>
      </c>
      <c r="B106" s="708"/>
      <c r="C106" s="709"/>
      <c r="D106" s="709"/>
      <c r="E106" s="709"/>
      <c r="F106" s="709"/>
      <c r="G106" s="709"/>
      <c r="H106" s="709"/>
      <c r="I106" s="709"/>
      <c r="J106" s="709"/>
      <c r="K106" s="709"/>
      <c r="L106" s="707"/>
      <c r="M106" s="707"/>
      <c r="N106" s="707"/>
      <c r="O106" s="707"/>
      <c r="P106" s="707"/>
      <c r="Q106" s="637"/>
      <c r="R106" s="637"/>
      <c r="S106" s="637"/>
      <c r="T106" s="637"/>
      <c r="U106" s="637"/>
      <c r="V106" s="290"/>
      <c r="W106" s="641"/>
      <c r="X106" s="641"/>
      <c r="Y106" s="641"/>
      <c r="Z106" s="641"/>
      <c r="AA106" s="641"/>
      <c r="AB106" s="641"/>
      <c r="AC106" s="112" t="str">
        <f>IFERROR(VLOOKUP(Z106,【参考】数式用!$A$4:$B$57,2,FALSE),"")</f>
        <v/>
      </c>
      <c r="AD106" s="288"/>
      <c r="AE106" s="294"/>
      <c r="AF106" s="291">
        <f t="shared" si="4"/>
        <v>0</v>
      </c>
      <c r="AG106" s="527"/>
      <c r="AP106" s="102" t="e">
        <f>IF($L$16="", "", VLOOKUP(Z106,【参考】数式用!$A$2:$O$57,14,FALSE))</f>
        <v>#N/A</v>
      </c>
      <c r="AQ106" s="27" t="e">
        <f>VLOOKUP(Z106,【参考】数式用!$A$2:$O$57,15,FALSE)</f>
        <v>#N/A</v>
      </c>
    </row>
    <row r="107" spans="1:43" ht="49.9" customHeight="1">
      <c r="A107" s="384">
        <f t="shared" si="3"/>
        <v>73</v>
      </c>
      <c r="B107" s="708"/>
      <c r="C107" s="709"/>
      <c r="D107" s="709"/>
      <c r="E107" s="709"/>
      <c r="F107" s="709"/>
      <c r="G107" s="709"/>
      <c r="H107" s="709"/>
      <c r="I107" s="709"/>
      <c r="J107" s="709"/>
      <c r="K107" s="709"/>
      <c r="L107" s="707"/>
      <c r="M107" s="707"/>
      <c r="N107" s="707"/>
      <c r="O107" s="707"/>
      <c r="P107" s="707"/>
      <c r="Q107" s="637"/>
      <c r="R107" s="637"/>
      <c r="S107" s="637"/>
      <c r="T107" s="637"/>
      <c r="U107" s="637"/>
      <c r="V107" s="290"/>
      <c r="W107" s="641"/>
      <c r="X107" s="641"/>
      <c r="Y107" s="641"/>
      <c r="Z107" s="641"/>
      <c r="AA107" s="641"/>
      <c r="AB107" s="641"/>
      <c r="AC107" s="112" t="str">
        <f>IFERROR(VLOOKUP(Z107,【参考】数式用!$A$4:$B$57,2,FALSE),"")</f>
        <v/>
      </c>
      <c r="AD107" s="288"/>
      <c r="AE107" s="294"/>
      <c r="AF107" s="291">
        <f t="shared" si="4"/>
        <v>0</v>
      </c>
      <c r="AG107" s="527"/>
      <c r="AP107" s="102" t="e">
        <f>IF($L$16="", "", VLOOKUP(Z107,【参考】数式用!$A$2:$O$57,14,FALSE))</f>
        <v>#N/A</v>
      </c>
      <c r="AQ107" s="27" t="e">
        <f>VLOOKUP(Z107,【参考】数式用!$A$2:$O$57,15,FALSE)</f>
        <v>#N/A</v>
      </c>
    </row>
    <row r="108" spans="1:43" ht="49.9" customHeight="1">
      <c r="A108" s="384">
        <f t="shared" si="3"/>
        <v>74</v>
      </c>
      <c r="B108" s="708"/>
      <c r="C108" s="709"/>
      <c r="D108" s="709"/>
      <c r="E108" s="709"/>
      <c r="F108" s="709"/>
      <c r="G108" s="709"/>
      <c r="H108" s="709"/>
      <c r="I108" s="709"/>
      <c r="J108" s="709"/>
      <c r="K108" s="709"/>
      <c r="L108" s="707"/>
      <c r="M108" s="707"/>
      <c r="N108" s="707"/>
      <c r="O108" s="707"/>
      <c r="P108" s="707"/>
      <c r="Q108" s="637"/>
      <c r="R108" s="637"/>
      <c r="S108" s="637"/>
      <c r="T108" s="637"/>
      <c r="U108" s="637"/>
      <c r="V108" s="290"/>
      <c r="W108" s="641"/>
      <c r="X108" s="641"/>
      <c r="Y108" s="641"/>
      <c r="Z108" s="641"/>
      <c r="AA108" s="641"/>
      <c r="AB108" s="641"/>
      <c r="AC108" s="112" t="str">
        <f>IFERROR(VLOOKUP(Z108,【参考】数式用!$A$4:$B$57,2,FALSE),"")</f>
        <v/>
      </c>
      <c r="AD108" s="288"/>
      <c r="AE108" s="294"/>
      <c r="AF108" s="291">
        <f t="shared" si="4"/>
        <v>0</v>
      </c>
      <c r="AG108" s="527"/>
      <c r="AP108" s="102" t="e">
        <f>IF($L$16="", "", VLOOKUP(Z108,【参考】数式用!$A$2:$O$57,14,FALSE))</f>
        <v>#N/A</v>
      </c>
      <c r="AQ108" s="27" t="e">
        <f>VLOOKUP(Z108,【参考】数式用!$A$2:$O$57,15,FALSE)</f>
        <v>#N/A</v>
      </c>
    </row>
    <row r="109" spans="1:43" ht="49.9" customHeight="1">
      <c r="A109" s="384">
        <f t="shared" si="3"/>
        <v>75</v>
      </c>
      <c r="B109" s="708"/>
      <c r="C109" s="709"/>
      <c r="D109" s="709"/>
      <c r="E109" s="709"/>
      <c r="F109" s="709"/>
      <c r="G109" s="709"/>
      <c r="H109" s="709"/>
      <c r="I109" s="709"/>
      <c r="J109" s="709"/>
      <c r="K109" s="709"/>
      <c r="L109" s="707"/>
      <c r="M109" s="707"/>
      <c r="N109" s="707"/>
      <c r="O109" s="707"/>
      <c r="P109" s="707"/>
      <c r="Q109" s="637"/>
      <c r="R109" s="637"/>
      <c r="S109" s="637"/>
      <c r="T109" s="637"/>
      <c r="U109" s="637"/>
      <c r="V109" s="290"/>
      <c r="W109" s="641"/>
      <c r="X109" s="641"/>
      <c r="Y109" s="641"/>
      <c r="Z109" s="641"/>
      <c r="AA109" s="641"/>
      <c r="AB109" s="641"/>
      <c r="AC109" s="112" t="str">
        <f>IFERROR(VLOOKUP(Z109,【参考】数式用!$A$4:$B$57,2,FALSE),"")</f>
        <v/>
      </c>
      <c r="AD109" s="288"/>
      <c r="AE109" s="294"/>
      <c r="AF109" s="291">
        <f t="shared" si="4"/>
        <v>0</v>
      </c>
      <c r="AG109" s="527"/>
      <c r="AP109" s="102" t="e">
        <f>IF($L$16="", "", VLOOKUP(Z109,【参考】数式用!$A$2:$O$57,14,FALSE))</f>
        <v>#N/A</v>
      </c>
      <c r="AQ109" s="27" t="e">
        <f>VLOOKUP(Z109,【参考】数式用!$A$2:$O$57,15,FALSE)</f>
        <v>#N/A</v>
      </c>
    </row>
    <row r="110" spans="1:43" ht="49.9" customHeight="1">
      <c r="A110" s="384">
        <f t="shared" si="3"/>
        <v>76</v>
      </c>
      <c r="B110" s="708"/>
      <c r="C110" s="709"/>
      <c r="D110" s="709"/>
      <c r="E110" s="709"/>
      <c r="F110" s="709"/>
      <c r="G110" s="709"/>
      <c r="H110" s="709"/>
      <c r="I110" s="709"/>
      <c r="J110" s="709"/>
      <c r="K110" s="709"/>
      <c r="L110" s="707"/>
      <c r="M110" s="707"/>
      <c r="N110" s="707"/>
      <c r="O110" s="707"/>
      <c r="P110" s="707"/>
      <c r="Q110" s="637"/>
      <c r="R110" s="637"/>
      <c r="S110" s="637"/>
      <c r="T110" s="637"/>
      <c r="U110" s="637"/>
      <c r="V110" s="290"/>
      <c r="W110" s="641"/>
      <c r="X110" s="641"/>
      <c r="Y110" s="641"/>
      <c r="Z110" s="641"/>
      <c r="AA110" s="641"/>
      <c r="AB110" s="641"/>
      <c r="AC110" s="112" t="str">
        <f>IFERROR(VLOOKUP(Z110,【参考】数式用!$A$4:$B$57,2,FALSE),"")</f>
        <v/>
      </c>
      <c r="AD110" s="288"/>
      <c r="AE110" s="294"/>
      <c r="AF110" s="291">
        <f t="shared" si="4"/>
        <v>0</v>
      </c>
      <c r="AG110" s="527"/>
      <c r="AP110" s="102" t="e">
        <f>IF($L$16="", "", VLOOKUP(Z110,【参考】数式用!$A$2:$O$57,14,FALSE))</f>
        <v>#N/A</v>
      </c>
      <c r="AQ110" s="27" t="e">
        <f>VLOOKUP(Z110,【参考】数式用!$A$2:$O$57,15,FALSE)</f>
        <v>#N/A</v>
      </c>
    </row>
    <row r="111" spans="1:43" ht="49.9" customHeight="1">
      <c r="A111" s="384">
        <f t="shared" si="3"/>
        <v>77</v>
      </c>
      <c r="B111" s="708"/>
      <c r="C111" s="709"/>
      <c r="D111" s="709"/>
      <c r="E111" s="709"/>
      <c r="F111" s="709"/>
      <c r="G111" s="709"/>
      <c r="H111" s="709"/>
      <c r="I111" s="709"/>
      <c r="J111" s="709"/>
      <c r="K111" s="709"/>
      <c r="L111" s="707"/>
      <c r="M111" s="707"/>
      <c r="N111" s="707"/>
      <c r="O111" s="707"/>
      <c r="P111" s="707"/>
      <c r="Q111" s="637"/>
      <c r="R111" s="637"/>
      <c r="S111" s="637"/>
      <c r="T111" s="637"/>
      <c r="U111" s="637"/>
      <c r="V111" s="290"/>
      <c r="W111" s="641"/>
      <c r="X111" s="641"/>
      <c r="Y111" s="641"/>
      <c r="Z111" s="641"/>
      <c r="AA111" s="641"/>
      <c r="AB111" s="641"/>
      <c r="AC111" s="112" t="str">
        <f>IFERROR(VLOOKUP(Z111,【参考】数式用!$A$4:$B$57,2,FALSE),"")</f>
        <v/>
      </c>
      <c r="AD111" s="288"/>
      <c r="AE111" s="294"/>
      <c r="AF111" s="291">
        <f t="shared" si="4"/>
        <v>0</v>
      </c>
      <c r="AG111" s="527"/>
      <c r="AP111" s="102" t="e">
        <f>IF($L$16="", "", VLOOKUP(Z111,【参考】数式用!$A$2:$O$57,14,FALSE))</f>
        <v>#N/A</v>
      </c>
      <c r="AQ111" s="27" t="e">
        <f>VLOOKUP(Z111,【参考】数式用!$A$2:$O$57,15,FALSE)</f>
        <v>#N/A</v>
      </c>
    </row>
    <row r="112" spans="1:43" ht="49.9" customHeight="1">
      <c r="A112" s="384">
        <f t="shared" si="3"/>
        <v>78</v>
      </c>
      <c r="B112" s="708"/>
      <c r="C112" s="709"/>
      <c r="D112" s="709"/>
      <c r="E112" s="709"/>
      <c r="F112" s="709"/>
      <c r="G112" s="709"/>
      <c r="H112" s="709"/>
      <c r="I112" s="709"/>
      <c r="J112" s="709"/>
      <c r="K112" s="709"/>
      <c r="L112" s="707"/>
      <c r="M112" s="707"/>
      <c r="N112" s="707"/>
      <c r="O112" s="707"/>
      <c r="P112" s="707"/>
      <c r="Q112" s="637"/>
      <c r="R112" s="637"/>
      <c r="S112" s="637"/>
      <c r="T112" s="637"/>
      <c r="U112" s="637"/>
      <c r="V112" s="290"/>
      <c r="W112" s="641"/>
      <c r="X112" s="641"/>
      <c r="Y112" s="641"/>
      <c r="Z112" s="641"/>
      <c r="AA112" s="641"/>
      <c r="AB112" s="641"/>
      <c r="AC112" s="112" t="str">
        <f>IFERROR(VLOOKUP(Z112,【参考】数式用!$A$4:$B$57,2,FALSE),"")</f>
        <v/>
      </c>
      <c r="AD112" s="288"/>
      <c r="AE112" s="294"/>
      <c r="AF112" s="291">
        <f t="shared" si="4"/>
        <v>0</v>
      </c>
      <c r="AG112" s="527"/>
      <c r="AP112" s="102" t="e">
        <f>IF($L$16="", "", VLOOKUP(Z112,【参考】数式用!$A$2:$O$57,14,FALSE))</f>
        <v>#N/A</v>
      </c>
      <c r="AQ112" s="27" t="e">
        <f>VLOOKUP(Z112,【参考】数式用!$A$2:$O$57,15,FALSE)</f>
        <v>#N/A</v>
      </c>
    </row>
    <row r="113" spans="1:43" ht="49.9" customHeight="1">
      <c r="A113" s="384">
        <f t="shared" si="3"/>
        <v>79</v>
      </c>
      <c r="B113" s="708"/>
      <c r="C113" s="709"/>
      <c r="D113" s="709"/>
      <c r="E113" s="709"/>
      <c r="F113" s="709"/>
      <c r="G113" s="709"/>
      <c r="H113" s="709"/>
      <c r="I113" s="709"/>
      <c r="J113" s="709"/>
      <c r="K113" s="709"/>
      <c r="L113" s="707"/>
      <c r="M113" s="707"/>
      <c r="N113" s="707"/>
      <c r="O113" s="707"/>
      <c r="P113" s="707"/>
      <c r="Q113" s="637"/>
      <c r="R113" s="637"/>
      <c r="S113" s="637"/>
      <c r="T113" s="637"/>
      <c r="U113" s="637"/>
      <c r="V113" s="290"/>
      <c r="W113" s="641"/>
      <c r="X113" s="641"/>
      <c r="Y113" s="641"/>
      <c r="Z113" s="641"/>
      <c r="AA113" s="641"/>
      <c r="AB113" s="641"/>
      <c r="AC113" s="112" t="str">
        <f>IFERROR(VLOOKUP(Z113,【参考】数式用!$A$4:$B$57,2,FALSE),"")</f>
        <v/>
      </c>
      <c r="AD113" s="288"/>
      <c r="AE113" s="294"/>
      <c r="AF113" s="291">
        <f t="shared" si="4"/>
        <v>0</v>
      </c>
      <c r="AG113" s="527"/>
      <c r="AP113" s="102" t="e">
        <f>IF($L$16="", "", VLOOKUP(Z113,【参考】数式用!$A$2:$O$57,14,FALSE))</f>
        <v>#N/A</v>
      </c>
      <c r="AQ113" s="27" t="e">
        <f>VLOOKUP(Z113,【参考】数式用!$A$2:$O$57,15,FALSE)</f>
        <v>#N/A</v>
      </c>
    </row>
    <row r="114" spans="1:43" ht="49.9" customHeight="1">
      <c r="A114" s="384">
        <f t="shared" si="3"/>
        <v>80</v>
      </c>
      <c r="B114" s="708"/>
      <c r="C114" s="709"/>
      <c r="D114" s="709"/>
      <c r="E114" s="709"/>
      <c r="F114" s="709"/>
      <c r="G114" s="709"/>
      <c r="H114" s="709"/>
      <c r="I114" s="709"/>
      <c r="J114" s="709"/>
      <c r="K114" s="709"/>
      <c r="L114" s="707"/>
      <c r="M114" s="707"/>
      <c r="N114" s="707"/>
      <c r="O114" s="707"/>
      <c r="P114" s="707"/>
      <c r="Q114" s="637"/>
      <c r="R114" s="637"/>
      <c r="S114" s="637"/>
      <c r="T114" s="637"/>
      <c r="U114" s="637"/>
      <c r="V114" s="290"/>
      <c r="W114" s="641"/>
      <c r="X114" s="641"/>
      <c r="Y114" s="641"/>
      <c r="Z114" s="641"/>
      <c r="AA114" s="641"/>
      <c r="AB114" s="641"/>
      <c r="AC114" s="112" t="str">
        <f>IFERROR(VLOOKUP(Z114,【参考】数式用!$A$4:$B$57,2,FALSE),"")</f>
        <v/>
      </c>
      <c r="AD114" s="288"/>
      <c r="AE114" s="294"/>
      <c r="AF114" s="291">
        <f t="shared" si="4"/>
        <v>0</v>
      </c>
      <c r="AG114" s="527"/>
      <c r="AP114" s="102" t="e">
        <f>IF($L$16="", "", VLOOKUP(Z114,【参考】数式用!$A$2:$O$57,14,FALSE))</f>
        <v>#N/A</v>
      </c>
      <c r="AQ114" s="27" t="e">
        <f>VLOOKUP(Z114,【参考】数式用!$A$2:$O$57,15,FALSE)</f>
        <v>#N/A</v>
      </c>
    </row>
    <row r="115" spans="1:43" ht="49.9" customHeight="1">
      <c r="A115" s="384">
        <f t="shared" si="3"/>
        <v>81</v>
      </c>
      <c r="B115" s="708"/>
      <c r="C115" s="709"/>
      <c r="D115" s="709"/>
      <c r="E115" s="709"/>
      <c r="F115" s="709"/>
      <c r="G115" s="709"/>
      <c r="H115" s="709"/>
      <c r="I115" s="709"/>
      <c r="J115" s="709"/>
      <c r="K115" s="709"/>
      <c r="L115" s="707"/>
      <c r="M115" s="707"/>
      <c r="N115" s="707"/>
      <c r="O115" s="707"/>
      <c r="P115" s="707"/>
      <c r="Q115" s="637"/>
      <c r="R115" s="637"/>
      <c r="S115" s="637"/>
      <c r="T115" s="637"/>
      <c r="U115" s="637"/>
      <c r="V115" s="290"/>
      <c r="W115" s="641"/>
      <c r="X115" s="641"/>
      <c r="Y115" s="641"/>
      <c r="Z115" s="641"/>
      <c r="AA115" s="641"/>
      <c r="AB115" s="641"/>
      <c r="AC115" s="112" t="str">
        <f>IFERROR(VLOOKUP(Z115,【参考】数式用!$A$4:$B$57,2,FALSE),"")</f>
        <v/>
      </c>
      <c r="AD115" s="288"/>
      <c r="AE115" s="294"/>
      <c r="AF115" s="291">
        <f t="shared" si="4"/>
        <v>0</v>
      </c>
      <c r="AG115" s="527"/>
      <c r="AP115" s="102" t="e">
        <f>IF($L$16="", "", VLOOKUP(Z115,【参考】数式用!$A$2:$O$57,14,FALSE))</f>
        <v>#N/A</v>
      </c>
      <c r="AQ115" s="27" t="e">
        <f>VLOOKUP(Z115,【参考】数式用!$A$2:$O$57,15,FALSE)</f>
        <v>#N/A</v>
      </c>
    </row>
    <row r="116" spans="1:43" ht="49.9" customHeight="1">
      <c r="A116" s="384">
        <f t="shared" si="3"/>
        <v>82</v>
      </c>
      <c r="B116" s="708"/>
      <c r="C116" s="709"/>
      <c r="D116" s="709"/>
      <c r="E116" s="709"/>
      <c r="F116" s="709"/>
      <c r="G116" s="709"/>
      <c r="H116" s="709"/>
      <c r="I116" s="709"/>
      <c r="J116" s="709"/>
      <c r="K116" s="709"/>
      <c r="L116" s="707"/>
      <c r="M116" s="707"/>
      <c r="N116" s="707"/>
      <c r="O116" s="707"/>
      <c r="P116" s="707"/>
      <c r="Q116" s="637"/>
      <c r="R116" s="637"/>
      <c r="S116" s="637"/>
      <c r="T116" s="637"/>
      <c r="U116" s="637"/>
      <c r="V116" s="290"/>
      <c r="W116" s="641"/>
      <c r="X116" s="641"/>
      <c r="Y116" s="641"/>
      <c r="Z116" s="641"/>
      <c r="AA116" s="641"/>
      <c r="AB116" s="641"/>
      <c r="AC116" s="112" t="str">
        <f>IFERROR(VLOOKUP(Z116,【参考】数式用!$A$4:$B$57,2,FALSE),"")</f>
        <v/>
      </c>
      <c r="AD116" s="288"/>
      <c r="AE116" s="294"/>
      <c r="AF116" s="291">
        <f t="shared" si="4"/>
        <v>0</v>
      </c>
      <c r="AG116" s="527"/>
      <c r="AP116" s="102" t="e">
        <f>IF($L$16="", "", VLOOKUP(Z116,【参考】数式用!$A$2:$O$57,14,FALSE))</f>
        <v>#N/A</v>
      </c>
      <c r="AQ116" s="27" t="e">
        <f>VLOOKUP(Z116,【参考】数式用!$A$2:$O$57,15,FALSE)</f>
        <v>#N/A</v>
      </c>
    </row>
    <row r="117" spans="1:43" ht="49.9" customHeight="1">
      <c r="A117" s="384">
        <f t="shared" si="3"/>
        <v>83</v>
      </c>
      <c r="B117" s="708"/>
      <c r="C117" s="709"/>
      <c r="D117" s="709"/>
      <c r="E117" s="709"/>
      <c r="F117" s="709"/>
      <c r="G117" s="709"/>
      <c r="H117" s="709"/>
      <c r="I117" s="709"/>
      <c r="J117" s="709"/>
      <c r="K117" s="709"/>
      <c r="L117" s="707"/>
      <c r="M117" s="707"/>
      <c r="N117" s="707"/>
      <c r="O117" s="707"/>
      <c r="P117" s="707"/>
      <c r="Q117" s="637"/>
      <c r="R117" s="637"/>
      <c r="S117" s="637"/>
      <c r="T117" s="637"/>
      <c r="U117" s="637"/>
      <c r="V117" s="290"/>
      <c r="W117" s="641"/>
      <c r="X117" s="641"/>
      <c r="Y117" s="641"/>
      <c r="Z117" s="641"/>
      <c r="AA117" s="641"/>
      <c r="AB117" s="641"/>
      <c r="AC117" s="112" t="str">
        <f>IFERROR(VLOOKUP(Z117,【参考】数式用!$A$4:$B$57,2,FALSE),"")</f>
        <v/>
      </c>
      <c r="AD117" s="288"/>
      <c r="AE117" s="294"/>
      <c r="AF117" s="291">
        <f t="shared" si="4"/>
        <v>0</v>
      </c>
      <c r="AG117" s="527"/>
      <c r="AP117" s="102" t="e">
        <f>IF($L$16="", "", VLOOKUP(Z117,【参考】数式用!$A$2:$O$57,14,FALSE))</f>
        <v>#N/A</v>
      </c>
      <c r="AQ117" s="27" t="e">
        <f>VLOOKUP(Z117,【参考】数式用!$A$2:$O$57,15,FALSE)</f>
        <v>#N/A</v>
      </c>
    </row>
    <row r="118" spans="1:43" ht="49.9" customHeight="1">
      <c r="A118" s="384">
        <f t="shared" si="3"/>
        <v>84</v>
      </c>
      <c r="B118" s="708"/>
      <c r="C118" s="709"/>
      <c r="D118" s="709"/>
      <c r="E118" s="709"/>
      <c r="F118" s="709"/>
      <c r="G118" s="709"/>
      <c r="H118" s="709"/>
      <c r="I118" s="709"/>
      <c r="J118" s="709"/>
      <c r="K118" s="709"/>
      <c r="L118" s="707"/>
      <c r="M118" s="707"/>
      <c r="N118" s="707"/>
      <c r="O118" s="707"/>
      <c r="P118" s="707"/>
      <c r="Q118" s="637"/>
      <c r="R118" s="637"/>
      <c r="S118" s="637"/>
      <c r="T118" s="637"/>
      <c r="U118" s="637"/>
      <c r="V118" s="290"/>
      <c r="W118" s="641"/>
      <c r="X118" s="641"/>
      <c r="Y118" s="641"/>
      <c r="Z118" s="641"/>
      <c r="AA118" s="641"/>
      <c r="AB118" s="641"/>
      <c r="AC118" s="112" t="str">
        <f>IFERROR(VLOOKUP(Z118,【参考】数式用!$A$4:$B$57,2,FALSE),"")</f>
        <v/>
      </c>
      <c r="AD118" s="288"/>
      <c r="AE118" s="294"/>
      <c r="AF118" s="291">
        <f t="shared" si="4"/>
        <v>0</v>
      </c>
      <c r="AG118" s="527"/>
      <c r="AP118" s="102" t="e">
        <f>IF($L$16="", "", VLOOKUP(Z118,【参考】数式用!$A$2:$O$57,14,FALSE))</f>
        <v>#N/A</v>
      </c>
      <c r="AQ118" s="27" t="e">
        <f>VLOOKUP(Z118,【参考】数式用!$A$2:$O$57,15,FALSE)</f>
        <v>#N/A</v>
      </c>
    </row>
    <row r="119" spans="1:43" ht="49.9" customHeight="1">
      <c r="A119" s="384">
        <f t="shared" si="3"/>
        <v>85</v>
      </c>
      <c r="B119" s="708"/>
      <c r="C119" s="709"/>
      <c r="D119" s="709"/>
      <c r="E119" s="709"/>
      <c r="F119" s="709"/>
      <c r="G119" s="709"/>
      <c r="H119" s="709"/>
      <c r="I119" s="709"/>
      <c r="J119" s="709"/>
      <c r="K119" s="709"/>
      <c r="L119" s="707"/>
      <c r="M119" s="707"/>
      <c r="N119" s="707"/>
      <c r="O119" s="707"/>
      <c r="P119" s="707"/>
      <c r="Q119" s="637"/>
      <c r="R119" s="637"/>
      <c r="S119" s="637"/>
      <c r="T119" s="637"/>
      <c r="U119" s="637"/>
      <c r="V119" s="290"/>
      <c r="W119" s="641"/>
      <c r="X119" s="641"/>
      <c r="Y119" s="641"/>
      <c r="Z119" s="641"/>
      <c r="AA119" s="641"/>
      <c r="AB119" s="641"/>
      <c r="AC119" s="112" t="str">
        <f>IFERROR(VLOOKUP(Z119,【参考】数式用!$A$4:$B$57,2,FALSE),"")</f>
        <v/>
      </c>
      <c r="AD119" s="288"/>
      <c r="AE119" s="294"/>
      <c r="AF119" s="291">
        <f t="shared" si="4"/>
        <v>0</v>
      </c>
      <c r="AG119" s="527"/>
      <c r="AP119" s="102" t="e">
        <f>IF($L$16="", "", VLOOKUP(Z119,【参考】数式用!$A$2:$O$57,14,FALSE))</f>
        <v>#N/A</v>
      </c>
      <c r="AQ119" s="27" t="e">
        <f>VLOOKUP(Z119,【参考】数式用!$A$2:$O$57,15,FALSE)</f>
        <v>#N/A</v>
      </c>
    </row>
    <row r="120" spans="1:43" ht="49.9" customHeight="1">
      <c r="A120" s="384">
        <f t="shared" si="3"/>
        <v>86</v>
      </c>
      <c r="B120" s="708"/>
      <c r="C120" s="709"/>
      <c r="D120" s="709"/>
      <c r="E120" s="709"/>
      <c r="F120" s="709"/>
      <c r="G120" s="709"/>
      <c r="H120" s="709"/>
      <c r="I120" s="709"/>
      <c r="J120" s="709"/>
      <c r="K120" s="709"/>
      <c r="L120" s="707"/>
      <c r="M120" s="707"/>
      <c r="N120" s="707"/>
      <c r="O120" s="707"/>
      <c r="P120" s="707"/>
      <c r="Q120" s="637"/>
      <c r="R120" s="637"/>
      <c r="S120" s="637"/>
      <c r="T120" s="637"/>
      <c r="U120" s="637"/>
      <c r="V120" s="290"/>
      <c r="W120" s="641"/>
      <c r="X120" s="641"/>
      <c r="Y120" s="641"/>
      <c r="Z120" s="641"/>
      <c r="AA120" s="641"/>
      <c r="AB120" s="641"/>
      <c r="AC120" s="112" t="str">
        <f>IFERROR(VLOOKUP(Z120,【参考】数式用!$A$4:$B$57,2,FALSE),"")</f>
        <v/>
      </c>
      <c r="AD120" s="288"/>
      <c r="AE120" s="294"/>
      <c r="AF120" s="291">
        <f t="shared" si="4"/>
        <v>0</v>
      </c>
      <c r="AG120" s="527"/>
      <c r="AP120" s="102" t="e">
        <f>IF($L$16="", "", VLOOKUP(Z120,【参考】数式用!$A$2:$O$57,14,FALSE))</f>
        <v>#N/A</v>
      </c>
      <c r="AQ120" s="27" t="e">
        <f>VLOOKUP(Z120,【参考】数式用!$A$2:$O$57,15,FALSE)</f>
        <v>#N/A</v>
      </c>
    </row>
    <row r="121" spans="1:43" ht="49.9" customHeight="1">
      <c r="A121" s="384">
        <f t="shared" si="3"/>
        <v>87</v>
      </c>
      <c r="B121" s="708"/>
      <c r="C121" s="709"/>
      <c r="D121" s="709"/>
      <c r="E121" s="709"/>
      <c r="F121" s="709"/>
      <c r="G121" s="709"/>
      <c r="H121" s="709"/>
      <c r="I121" s="709"/>
      <c r="J121" s="709"/>
      <c r="K121" s="709"/>
      <c r="L121" s="707"/>
      <c r="M121" s="707"/>
      <c r="N121" s="707"/>
      <c r="O121" s="707"/>
      <c r="P121" s="707"/>
      <c r="Q121" s="637"/>
      <c r="R121" s="637"/>
      <c r="S121" s="637"/>
      <c r="T121" s="637"/>
      <c r="U121" s="637"/>
      <c r="V121" s="290"/>
      <c r="W121" s="641"/>
      <c r="X121" s="641"/>
      <c r="Y121" s="641"/>
      <c r="Z121" s="641"/>
      <c r="AA121" s="641"/>
      <c r="AB121" s="641"/>
      <c r="AC121" s="112" t="str">
        <f>IFERROR(VLOOKUP(Z121,【参考】数式用!$A$4:$B$57,2,FALSE),"")</f>
        <v/>
      </c>
      <c r="AD121" s="288"/>
      <c r="AE121" s="294"/>
      <c r="AF121" s="291">
        <f t="shared" si="4"/>
        <v>0</v>
      </c>
      <c r="AG121" s="527"/>
      <c r="AP121" s="102" t="e">
        <f>IF($L$16="", "", VLOOKUP(Z121,【参考】数式用!$A$2:$O$57,14,FALSE))</f>
        <v>#N/A</v>
      </c>
      <c r="AQ121" s="27" t="e">
        <f>VLOOKUP(Z121,【参考】数式用!$A$2:$O$57,15,FALSE)</f>
        <v>#N/A</v>
      </c>
    </row>
    <row r="122" spans="1:43" ht="49.9" customHeight="1">
      <c r="A122" s="384">
        <f t="shared" si="3"/>
        <v>88</v>
      </c>
      <c r="B122" s="708"/>
      <c r="C122" s="709"/>
      <c r="D122" s="709"/>
      <c r="E122" s="709"/>
      <c r="F122" s="709"/>
      <c r="G122" s="709"/>
      <c r="H122" s="709"/>
      <c r="I122" s="709"/>
      <c r="J122" s="709"/>
      <c r="K122" s="709"/>
      <c r="L122" s="707"/>
      <c r="M122" s="707"/>
      <c r="N122" s="707"/>
      <c r="O122" s="707"/>
      <c r="P122" s="707"/>
      <c r="Q122" s="637"/>
      <c r="R122" s="637"/>
      <c r="S122" s="637"/>
      <c r="T122" s="637"/>
      <c r="U122" s="637"/>
      <c r="V122" s="290"/>
      <c r="W122" s="641"/>
      <c r="X122" s="641"/>
      <c r="Y122" s="641"/>
      <c r="Z122" s="641"/>
      <c r="AA122" s="641"/>
      <c r="AB122" s="641"/>
      <c r="AC122" s="112" t="str">
        <f>IFERROR(VLOOKUP(Z122,【参考】数式用!$A$4:$B$57,2,FALSE),"")</f>
        <v/>
      </c>
      <c r="AD122" s="288"/>
      <c r="AE122" s="294"/>
      <c r="AF122" s="291">
        <f t="shared" si="4"/>
        <v>0</v>
      </c>
      <c r="AG122" s="527"/>
      <c r="AP122" s="102" t="e">
        <f>IF($L$16="", "", VLOOKUP(Z122,【参考】数式用!$A$2:$O$57,14,FALSE))</f>
        <v>#N/A</v>
      </c>
      <c r="AQ122" s="27" t="e">
        <f>VLOOKUP(Z122,【参考】数式用!$A$2:$O$57,15,FALSE)</f>
        <v>#N/A</v>
      </c>
    </row>
    <row r="123" spans="1:43" ht="49.9" customHeight="1">
      <c r="A123" s="384">
        <f t="shared" si="3"/>
        <v>89</v>
      </c>
      <c r="B123" s="708"/>
      <c r="C123" s="709"/>
      <c r="D123" s="709"/>
      <c r="E123" s="709"/>
      <c r="F123" s="709"/>
      <c r="G123" s="709"/>
      <c r="H123" s="709"/>
      <c r="I123" s="709"/>
      <c r="J123" s="709"/>
      <c r="K123" s="709"/>
      <c r="L123" s="707"/>
      <c r="M123" s="707"/>
      <c r="N123" s="707"/>
      <c r="O123" s="707"/>
      <c r="P123" s="707"/>
      <c r="Q123" s="637"/>
      <c r="R123" s="637"/>
      <c r="S123" s="637"/>
      <c r="T123" s="637"/>
      <c r="U123" s="637"/>
      <c r="V123" s="290"/>
      <c r="W123" s="641"/>
      <c r="X123" s="641"/>
      <c r="Y123" s="641"/>
      <c r="Z123" s="641"/>
      <c r="AA123" s="641"/>
      <c r="AB123" s="641"/>
      <c r="AC123" s="112" t="str">
        <f>IFERROR(VLOOKUP(Z123,【参考】数式用!$A$4:$B$57,2,FALSE),"")</f>
        <v/>
      </c>
      <c r="AD123" s="288"/>
      <c r="AE123" s="294"/>
      <c r="AF123" s="291">
        <f t="shared" si="4"/>
        <v>0</v>
      </c>
      <c r="AG123" s="527"/>
      <c r="AP123" s="102" t="e">
        <f>IF($L$16="", "", VLOOKUP(Z123,【参考】数式用!$A$2:$O$57,14,FALSE))</f>
        <v>#N/A</v>
      </c>
      <c r="AQ123" s="27" t="e">
        <f>VLOOKUP(Z123,【参考】数式用!$A$2:$O$57,15,FALSE)</f>
        <v>#N/A</v>
      </c>
    </row>
    <row r="124" spans="1:43" ht="49.9" customHeight="1">
      <c r="A124" s="384">
        <f t="shared" si="3"/>
        <v>90</v>
      </c>
      <c r="B124" s="708"/>
      <c r="C124" s="709"/>
      <c r="D124" s="709"/>
      <c r="E124" s="709"/>
      <c r="F124" s="709"/>
      <c r="G124" s="709"/>
      <c r="H124" s="709"/>
      <c r="I124" s="709"/>
      <c r="J124" s="709"/>
      <c r="K124" s="709"/>
      <c r="L124" s="707"/>
      <c r="M124" s="707"/>
      <c r="N124" s="707"/>
      <c r="O124" s="707"/>
      <c r="P124" s="707"/>
      <c r="Q124" s="637"/>
      <c r="R124" s="637"/>
      <c r="S124" s="637"/>
      <c r="T124" s="637"/>
      <c r="U124" s="637"/>
      <c r="V124" s="290"/>
      <c r="W124" s="641"/>
      <c r="X124" s="641"/>
      <c r="Y124" s="641"/>
      <c r="Z124" s="641"/>
      <c r="AA124" s="641"/>
      <c r="AB124" s="641"/>
      <c r="AC124" s="112" t="str">
        <f>IFERROR(VLOOKUP(Z124,【参考】数式用!$A$4:$B$57,2,FALSE),"")</f>
        <v/>
      </c>
      <c r="AD124" s="288"/>
      <c r="AE124" s="294"/>
      <c r="AF124" s="291">
        <f t="shared" si="4"/>
        <v>0</v>
      </c>
      <c r="AG124" s="527"/>
      <c r="AP124" s="102" t="e">
        <f>IF($L$16="", "", VLOOKUP(Z124,【参考】数式用!$A$2:$O$57,14,FALSE))</f>
        <v>#N/A</v>
      </c>
      <c r="AQ124" s="27" t="e">
        <f>VLOOKUP(Z124,【参考】数式用!$A$2:$O$57,15,FALSE)</f>
        <v>#N/A</v>
      </c>
    </row>
    <row r="125" spans="1:43" ht="49.9" customHeight="1">
      <c r="A125" s="384">
        <f t="shared" si="3"/>
        <v>91</v>
      </c>
      <c r="B125" s="708"/>
      <c r="C125" s="709"/>
      <c r="D125" s="709"/>
      <c r="E125" s="709"/>
      <c r="F125" s="709"/>
      <c r="G125" s="709"/>
      <c r="H125" s="709"/>
      <c r="I125" s="709"/>
      <c r="J125" s="709"/>
      <c r="K125" s="709"/>
      <c r="L125" s="707"/>
      <c r="M125" s="707"/>
      <c r="N125" s="707"/>
      <c r="O125" s="707"/>
      <c r="P125" s="707"/>
      <c r="Q125" s="637"/>
      <c r="R125" s="637"/>
      <c r="S125" s="637"/>
      <c r="T125" s="637"/>
      <c r="U125" s="637"/>
      <c r="V125" s="290"/>
      <c r="W125" s="641"/>
      <c r="X125" s="641"/>
      <c r="Y125" s="641"/>
      <c r="Z125" s="641"/>
      <c r="AA125" s="641"/>
      <c r="AB125" s="641"/>
      <c r="AC125" s="112" t="str">
        <f>IFERROR(VLOOKUP(Z125,【参考】数式用!$A$4:$B$57,2,FALSE),"")</f>
        <v/>
      </c>
      <c r="AD125" s="288"/>
      <c r="AE125" s="294"/>
      <c r="AF125" s="291">
        <f t="shared" si="4"/>
        <v>0</v>
      </c>
      <c r="AG125" s="527"/>
      <c r="AP125" s="102" t="e">
        <f>IF($L$16="", "", VLOOKUP(Z125,【参考】数式用!$A$2:$O$57,14,FALSE))</f>
        <v>#N/A</v>
      </c>
      <c r="AQ125" s="27" t="e">
        <f>VLOOKUP(Z125,【参考】数式用!$A$2:$O$57,15,FALSE)</f>
        <v>#N/A</v>
      </c>
    </row>
    <row r="126" spans="1:43" ht="49.9" customHeight="1">
      <c r="A126" s="384">
        <f t="shared" si="3"/>
        <v>92</v>
      </c>
      <c r="B126" s="708"/>
      <c r="C126" s="709"/>
      <c r="D126" s="709"/>
      <c r="E126" s="709"/>
      <c r="F126" s="709"/>
      <c r="G126" s="709"/>
      <c r="H126" s="709"/>
      <c r="I126" s="709"/>
      <c r="J126" s="709"/>
      <c r="K126" s="709"/>
      <c r="L126" s="707"/>
      <c r="M126" s="707"/>
      <c r="N126" s="707"/>
      <c r="O126" s="707"/>
      <c r="P126" s="707"/>
      <c r="Q126" s="637"/>
      <c r="R126" s="637"/>
      <c r="S126" s="637"/>
      <c r="T126" s="637"/>
      <c r="U126" s="637"/>
      <c r="V126" s="290"/>
      <c r="W126" s="641"/>
      <c r="X126" s="641"/>
      <c r="Y126" s="641"/>
      <c r="Z126" s="641"/>
      <c r="AA126" s="641"/>
      <c r="AB126" s="641"/>
      <c r="AC126" s="112" t="str">
        <f>IFERROR(VLOOKUP(Z126,【参考】数式用!$A$4:$B$57,2,FALSE),"")</f>
        <v/>
      </c>
      <c r="AD126" s="288"/>
      <c r="AE126" s="294"/>
      <c r="AF126" s="291">
        <f t="shared" si="4"/>
        <v>0</v>
      </c>
      <c r="AG126" s="527"/>
      <c r="AP126" s="102" t="e">
        <f>IF($L$16="", "", VLOOKUP(Z126,【参考】数式用!$A$2:$O$57,14,FALSE))</f>
        <v>#N/A</v>
      </c>
      <c r="AQ126" s="27" t="e">
        <f>VLOOKUP(Z126,【参考】数式用!$A$2:$O$57,15,FALSE)</f>
        <v>#N/A</v>
      </c>
    </row>
    <row r="127" spans="1:43" ht="49.9" customHeight="1">
      <c r="A127" s="384">
        <f t="shared" si="3"/>
        <v>93</v>
      </c>
      <c r="B127" s="708"/>
      <c r="C127" s="709"/>
      <c r="D127" s="709"/>
      <c r="E127" s="709"/>
      <c r="F127" s="709"/>
      <c r="G127" s="709"/>
      <c r="H127" s="709"/>
      <c r="I127" s="709"/>
      <c r="J127" s="709"/>
      <c r="K127" s="709"/>
      <c r="L127" s="707"/>
      <c r="M127" s="707"/>
      <c r="N127" s="707"/>
      <c r="O127" s="707"/>
      <c r="P127" s="707"/>
      <c r="Q127" s="637"/>
      <c r="R127" s="637"/>
      <c r="S127" s="637"/>
      <c r="T127" s="637"/>
      <c r="U127" s="637"/>
      <c r="V127" s="290"/>
      <c r="W127" s="641"/>
      <c r="X127" s="641"/>
      <c r="Y127" s="641"/>
      <c r="Z127" s="641"/>
      <c r="AA127" s="641"/>
      <c r="AB127" s="641"/>
      <c r="AC127" s="112" t="str">
        <f>IFERROR(VLOOKUP(Z127,【参考】数式用!$A$4:$B$57,2,FALSE),"")</f>
        <v/>
      </c>
      <c r="AD127" s="288"/>
      <c r="AE127" s="294"/>
      <c r="AF127" s="291">
        <f t="shared" si="4"/>
        <v>0</v>
      </c>
      <c r="AG127" s="527"/>
      <c r="AP127" s="102" t="e">
        <f>IF($L$16="", "", VLOOKUP(Z127,【参考】数式用!$A$2:$O$57,14,FALSE))</f>
        <v>#N/A</v>
      </c>
      <c r="AQ127" s="27" t="e">
        <f>VLOOKUP(Z127,【参考】数式用!$A$2:$O$57,15,FALSE)</f>
        <v>#N/A</v>
      </c>
    </row>
    <row r="128" spans="1:43" ht="49.9" customHeight="1">
      <c r="A128" s="384">
        <f t="shared" si="3"/>
        <v>94</v>
      </c>
      <c r="B128" s="708"/>
      <c r="C128" s="709"/>
      <c r="D128" s="709"/>
      <c r="E128" s="709"/>
      <c r="F128" s="709"/>
      <c r="G128" s="709"/>
      <c r="H128" s="709"/>
      <c r="I128" s="709"/>
      <c r="J128" s="709"/>
      <c r="K128" s="709"/>
      <c r="L128" s="707"/>
      <c r="M128" s="707"/>
      <c r="N128" s="707"/>
      <c r="O128" s="707"/>
      <c r="P128" s="707"/>
      <c r="Q128" s="637"/>
      <c r="R128" s="637"/>
      <c r="S128" s="637"/>
      <c r="T128" s="637"/>
      <c r="U128" s="637"/>
      <c r="V128" s="290"/>
      <c r="W128" s="641"/>
      <c r="X128" s="641"/>
      <c r="Y128" s="641"/>
      <c r="Z128" s="641"/>
      <c r="AA128" s="641"/>
      <c r="AB128" s="641"/>
      <c r="AC128" s="112" t="str">
        <f>IFERROR(VLOOKUP(Z128,【参考】数式用!$A$4:$B$57,2,FALSE),"")</f>
        <v/>
      </c>
      <c r="AD128" s="288"/>
      <c r="AE128" s="294"/>
      <c r="AF128" s="291">
        <f t="shared" si="4"/>
        <v>0</v>
      </c>
      <c r="AG128" s="527"/>
      <c r="AP128" s="102" t="e">
        <f>IF($L$16="", "", VLOOKUP(Z128,【参考】数式用!$A$2:$O$57,14,FALSE))</f>
        <v>#N/A</v>
      </c>
      <c r="AQ128" s="27" t="e">
        <f>VLOOKUP(Z128,【参考】数式用!$A$2:$O$57,15,FALSE)</f>
        <v>#N/A</v>
      </c>
    </row>
    <row r="129" spans="1:43" ht="49.9" customHeight="1">
      <c r="A129" s="384">
        <f t="shared" si="3"/>
        <v>95</v>
      </c>
      <c r="B129" s="708"/>
      <c r="C129" s="709"/>
      <c r="D129" s="709"/>
      <c r="E129" s="709"/>
      <c r="F129" s="709"/>
      <c r="G129" s="709"/>
      <c r="H129" s="709"/>
      <c r="I129" s="709"/>
      <c r="J129" s="709"/>
      <c r="K129" s="709"/>
      <c r="L129" s="707"/>
      <c r="M129" s="707"/>
      <c r="N129" s="707"/>
      <c r="O129" s="707"/>
      <c r="P129" s="707"/>
      <c r="Q129" s="637"/>
      <c r="R129" s="637"/>
      <c r="S129" s="637"/>
      <c r="T129" s="637"/>
      <c r="U129" s="637"/>
      <c r="V129" s="290"/>
      <c r="W129" s="641"/>
      <c r="X129" s="641"/>
      <c r="Y129" s="641"/>
      <c r="Z129" s="641"/>
      <c r="AA129" s="641"/>
      <c r="AB129" s="641"/>
      <c r="AC129" s="112" t="str">
        <f>IFERROR(VLOOKUP(Z129,【参考】数式用!$A$4:$B$57,2,FALSE),"")</f>
        <v/>
      </c>
      <c r="AD129" s="288"/>
      <c r="AE129" s="294"/>
      <c r="AF129" s="291">
        <f t="shared" si="4"/>
        <v>0</v>
      </c>
      <c r="AG129" s="527"/>
      <c r="AP129" s="102" t="e">
        <f>IF($L$16="", "", VLOOKUP(Z129,【参考】数式用!$A$2:$O$57,14,FALSE))</f>
        <v>#N/A</v>
      </c>
      <c r="AQ129" s="27" t="e">
        <f>VLOOKUP(Z129,【参考】数式用!$A$2:$O$57,15,FALSE)</f>
        <v>#N/A</v>
      </c>
    </row>
    <row r="130" spans="1:43" ht="49.9" customHeight="1">
      <c r="A130" s="384">
        <f t="shared" si="3"/>
        <v>96</v>
      </c>
      <c r="B130" s="708"/>
      <c r="C130" s="709"/>
      <c r="D130" s="709"/>
      <c r="E130" s="709"/>
      <c r="F130" s="709"/>
      <c r="G130" s="709"/>
      <c r="H130" s="709"/>
      <c r="I130" s="709"/>
      <c r="J130" s="709"/>
      <c r="K130" s="709"/>
      <c r="L130" s="707"/>
      <c r="M130" s="707"/>
      <c r="N130" s="707"/>
      <c r="O130" s="707"/>
      <c r="P130" s="707"/>
      <c r="Q130" s="637"/>
      <c r="R130" s="637"/>
      <c r="S130" s="637"/>
      <c r="T130" s="637"/>
      <c r="U130" s="637"/>
      <c r="V130" s="290"/>
      <c r="W130" s="641"/>
      <c r="X130" s="641"/>
      <c r="Y130" s="641"/>
      <c r="Z130" s="641"/>
      <c r="AA130" s="641"/>
      <c r="AB130" s="641"/>
      <c r="AC130" s="112" t="str">
        <f>IFERROR(VLOOKUP(Z130,【参考】数式用!$A$4:$B$57,2,FALSE),"")</f>
        <v/>
      </c>
      <c r="AD130" s="288"/>
      <c r="AE130" s="294"/>
      <c r="AF130" s="291">
        <f t="shared" si="4"/>
        <v>0</v>
      </c>
      <c r="AG130" s="527"/>
      <c r="AP130" s="102" t="e">
        <f>IF($L$16="", "", VLOOKUP(Z130,【参考】数式用!$A$2:$O$57,14,FALSE))</f>
        <v>#N/A</v>
      </c>
      <c r="AQ130" s="27" t="e">
        <f>VLOOKUP(Z130,【参考】数式用!$A$2:$O$57,15,FALSE)</f>
        <v>#N/A</v>
      </c>
    </row>
    <row r="131" spans="1:43" ht="49.9" customHeight="1">
      <c r="A131" s="384">
        <f t="shared" si="3"/>
        <v>97</v>
      </c>
      <c r="B131" s="708"/>
      <c r="C131" s="709"/>
      <c r="D131" s="709"/>
      <c r="E131" s="709"/>
      <c r="F131" s="709"/>
      <c r="G131" s="709"/>
      <c r="H131" s="709"/>
      <c r="I131" s="709"/>
      <c r="J131" s="709"/>
      <c r="K131" s="709"/>
      <c r="L131" s="707"/>
      <c r="M131" s="707"/>
      <c r="N131" s="707"/>
      <c r="O131" s="707"/>
      <c r="P131" s="707"/>
      <c r="Q131" s="637"/>
      <c r="R131" s="637"/>
      <c r="S131" s="637"/>
      <c r="T131" s="637"/>
      <c r="U131" s="637"/>
      <c r="V131" s="290"/>
      <c r="W131" s="641"/>
      <c r="X131" s="641"/>
      <c r="Y131" s="641"/>
      <c r="Z131" s="641"/>
      <c r="AA131" s="641"/>
      <c r="AB131" s="641"/>
      <c r="AC131" s="112" t="str">
        <f>IFERROR(VLOOKUP(Z131,【参考】数式用!$A$4:$B$57,2,FALSE),"")</f>
        <v/>
      </c>
      <c r="AD131" s="288"/>
      <c r="AE131" s="294"/>
      <c r="AF131" s="291">
        <f t="shared" si="4"/>
        <v>0</v>
      </c>
      <c r="AG131" s="527"/>
      <c r="AP131" s="102" t="e">
        <f>IF($L$16="", "", VLOOKUP(Z131,【参考】数式用!$A$2:$O$57,14,FALSE))</f>
        <v>#N/A</v>
      </c>
      <c r="AQ131" s="27" t="e">
        <f>VLOOKUP(Z131,【参考】数式用!$A$2:$O$57,15,FALSE)</f>
        <v>#N/A</v>
      </c>
    </row>
    <row r="132" spans="1:43" ht="49.9" customHeight="1">
      <c r="A132" s="384">
        <f t="shared" si="3"/>
        <v>98</v>
      </c>
      <c r="B132" s="708"/>
      <c r="C132" s="709"/>
      <c r="D132" s="709"/>
      <c r="E132" s="709"/>
      <c r="F132" s="709"/>
      <c r="G132" s="709"/>
      <c r="H132" s="709"/>
      <c r="I132" s="709"/>
      <c r="J132" s="709"/>
      <c r="K132" s="709"/>
      <c r="L132" s="707"/>
      <c r="M132" s="707"/>
      <c r="N132" s="707"/>
      <c r="O132" s="707"/>
      <c r="P132" s="707"/>
      <c r="Q132" s="637"/>
      <c r="R132" s="637"/>
      <c r="S132" s="637"/>
      <c r="T132" s="637"/>
      <c r="U132" s="637"/>
      <c r="V132" s="290"/>
      <c r="W132" s="641"/>
      <c r="X132" s="641"/>
      <c r="Y132" s="641"/>
      <c r="Z132" s="641"/>
      <c r="AA132" s="641"/>
      <c r="AB132" s="641"/>
      <c r="AC132" s="112" t="str">
        <f>IFERROR(VLOOKUP(Z132,【参考】数式用!$A$4:$B$57,2,FALSE),"")</f>
        <v/>
      </c>
      <c r="AD132" s="288"/>
      <c r="AE132" s="294"/>
      <c r="AF132" s="291">
        <f t="shared" si="4"/>
        <v>0</v>
      </c>
      <c r="AG132" s="527"/>
      <c r="AP132" s="102" t="e">
        <f>IF($L$16="", "", VLOOKUP(Z132,【参考】数式用!$A$2:$O$57,14,FALSE))</f>
        <v>#N/A</v>
      </c>
      <c r="AQ132" s="27" t="e">
        <f>VLOOKUP(Z132,【参考】数式用!$A$2:$O$57,15,FALSE)</f>
        <v>#N/A</v>
      </c>
    </row>
    <row r="133" spans="1:43" ht="49.9" customHeight="1">
      <c r="A133" s="384">
        <f t="shared" si="3"/>
        <v>99</v>
      </c>
      <c r="B133" s="708"/>
      <c r="C133" s="709"/>
      <c r="D133" s="709"/>
      <c r="E133" s="709"/>
      <c r="F133" s="709"/>
      <c r="G133" s="709"/>
      <c r="H133" s="709"/>
      <c r="I133" s="709"/>
      <c r="J133" s="709"/>
      <c r="K133" s="709"/>
      <c r="L133" s="707"/>
      <c r="M133" s="707"/>
      <c r="N133" s="707"/>
      <c r="O133" s="707"/>
      <c r="P133" s="707"/>
      <c r="Q133" s="637"/>
      <c r="R133" s="637"/>
      <c r="S133" s="637"/>
      <c r="T133" s="637"/>
      <c r="U133" s="637"/>
      <c r="V133" s="290"/>
      <c r="W133" s="641"/>
      <c r="X133" s="641"/>
      <c r="Y133" s="641"/>
      <c r="Z133" s="641"/>
      <c r="AA133" s="641"/>
      <c r="AB133" s="641"/>
      <c r="AC133" s="112" t="str">
        <f>IFERROR(VLOOKUP(Z133,【参考】数式用!$A$4:$B$57,2,FALSE),"")</f>
        <v/>
      </c>
      <c r="AD133" s="288"/>
      <c r="AE133" s="294"/>
      <c r="AF133" s="291">
        <f t="shared" si="4"/>
        <v>0</v>
      </c>
      <c r="AG133" s="527"/>
      <c r="AP133" s="102" t="e">
        <f>IF($L$16="", "", VLOOKUP(Z133,【参考】数式用!$A$2:$O$57,14,FALSE))</f>
        <v>#N/A</v>
      </c>
      <c r="AQ133" s="27" t="e">
        <f>VLOOKUP(Z133,【参考】数式用!$A$2:$O$57,15,FALSE)</f>
        <v>#N/A</v>
      </c>
    </row>
    <row r="134" spans="1:43" ht="49.9" customHeight="1">
      <c r="A134" s="384">
        <f t="shared" si="3"/>
        <v>100</v>
      </c>
      <c r="B134" s="708"/>
      <c r="C134" s="709"/>
      <c r="D134" s="709"/>
      <c r="E134" s="709"/>
      <c r="F134" s="709"/>
      <c r="G134" s="709"/>
      <c r="H134" s="709"/>
      <c r="I134" s="709"/>
      <c r="J134" s="709"/>
      <c r="K134" s="709"/>
      <c r="L134" s="707"/>
      <c r="M134" s="707"/>
      <c r="N134" s="707"/>
      <c r="O134" s="707"/>
      <c r="P134" s="707"/>
      <c r="Q134" s="637"/>
      <c r="R134" s="637"/>
      <c r="S134" s="637"/>
      <c r="T134" s="637"/>
      <c r="U134" s="637"/>
      <c r="V134" s="290"/>
      <c r="W134" s="641"/>
      <c r="X134" s="641"/>
      <c r="Y134" s="641"/>
      <c r="Z134" s="641"/>
      <c r="AA134" s="641"/>
      <c r="AB134" s="641"/>
      <c r="AC134" s="112" t="str">
        <f>IFERROR(VLOOKUP(Z134,【参考】数式用!$A$4:$B$57,2,FALSE),"")</f>
        <v/>
      </c>
      <c r="AD134" s="288"/>
      <c r="AE134" s="294"/>
      <c r="AF134" s="291">
        <f t="shared" si="4"/>
        <v>0</v>
      </c>
      <c r="AG134" s="527"/>
      <c r="AP134" s="102" t="e">
        <f>IF($L$16="", "", VLOOKUP(Z134,【参考】数式用!$A$2:$O$57,14,FALSE))</f>
        <v>#N/A</v>
      </c>
      <c r="AQ134" s="27" t="e">
        <f>VLOOKUP(Z134,【参考】数式用!$A$2:$O$57,15,FALSE)</f>
        <v>#N/A</v>
      </c>
    </row>
    <row r="135" spans="1:43" ht="49.9" customHeight="1" thickBot="1">
      <c r="A135" s="384">
        <f t="shared" si="3"/>
        <v>101</v>
      </c>
      <c r="B135" s="708"/>
      <c r="C135" s="709"/>
      <c r="D135" s="709"/>
      <c r="E135" s="709"/>
      <c r="F135" s="709"/>
      <c r="G135" s="709"/>
      <c r="H135" s="709"/>
      <c r="I135" s="709"/>
      <c r="J135" s="709"/>
      <c r="K135" s="709"/>
      <c r="L135" s="707"/>
      <c r="M135" s="707"/>
      <c r="N135" s="707"/>
      <c r="O135" s="707"/>
      <c r="P135" s="707"/>
      <c r="Q135" s="637"/>
      <c r="R135" s="637"/>
      <c r="S135" s="637"/>
      <c r="T135" s="637"/>
      <c r="U135" s="637"/>
      <c r="V135" s="290"/>
      <c r="W135" s="651"/>
      <c r="X135" s="651"/>
      <c r="Y135" s="651"/>
      <c r="Z135" s="641"/>
      <c r="AA135" s="641"/>
      <c r="AB135" s="641"/>
      <c r="AC135" s="295" t="str">
        <f>IFERROR(VLOOKUP(Z135,【参考】数式用!$A$4:$B$57,2,FALSE),"")</f>
        <v/>
      </c>
      <c r="AD135" s="296"/>
      <c r="AE135" s="297"/>
      <c r="AF135" s="291">
        <f t="shared" si="4"/>
        <v>0</v>
      </c>
      <c r="AG135" s="527"/>
      <c r="AP135" s="102" t="e">
        <f>IF($L$16="", "", VLOOKUP(Z135,【参考】数式用!$A$2:$O$57,14,FALSE))</f>
        <v>#N/A</v>
      </c>
      <c r="AQ135" s="27" t="e">
        <f>VLOOKUP(Z135,【参考】数式用!$A$2:$O$57,15,FALSE)</f>
        <v>#N/A</v>
      </c>
    </row>
  </sheetData>
  <sheetProtection algorithmName="SHA-512" hashValue="yqlzIl2yFLyByhHJ4huhiLUwjLsrlf32YhaQnwGMFf0sRBKe9bRcLMiAS9mTbJ/ACp4sanxoYlsT6wmC+KHq1Q==" saltValue="mFr0QZF5RXVUtzrk7ZPutQ==" spinCount="100000" sheet="1" sort="0" autoFilter="0"/>
  <dataConsolidate/>
  <mergeCells count="556">
    <mergeCell ref="W73:Y73"/>
    <mergeCell ref="W72:Y72"/>
    <mergeCell ref="Q71:U71"/>
    <mergeCell ref="Q70:U70"/>
    <mergeCell ref="Q84:U84"/>
    <mergeCell ref="Q83:U83"/>
    <mergeCell ref="Q82:U82"/>
    <mergeCell ref="Q81:U81"/>
    <mergeCell ref="W82:Y82"/>
    <mergeCell ref="W81:Y81"/>
    <mergeCell ref="Z70:AB70"/>
    <mergeCell ref="Z71:AB71"/>
    <mergeCell ref="W62:Y62"/>
    <mergeCell ref="W63:Y63"/>
    <mergeCell ref="W68:Y68"/>
    <mergeCell ref="Z66:AB66"/>
    <mergeCell ref="Z67:AB67"/>
    <mergeCell ref="W64:Y64"/>
    <mergeCell ref="W65:Y65"/>
    <mergeCell ref="W66:Y66"/>
    <mergeCell ref="W67:Y67"/>
    <mergeCell ref="Z68:AB68"/>
    <mergeCell ref="Z69:AB69"/>
    <mergeCell ref="W71:Y71"/>
    <mergeCell ref="W70:Y70"/>
    <mergeCell ref="W69:Y69"/>
    <mergeCell ref="AG33:AG34"/>
    <mergeCell ref="Q33:V33"/>
    <mergeCell ref="AE33:AE34"/>
    <mergeCell ref="Z61:AB61"/>
    <mergeCell ref="Z62:AB62"/>
    <mergeCell ref="Z63:AB63"/>
    <mergeCell ref="Z64:AB64"/>
    <mergeCell ref="Z65:AB65"/>
    <mergeCell ref="Z52:AB52"/>
    <mergeCell ref="Z53:AB53"/>
    <mergeCell ref="Z54:AB54"/>
    <mergeCell ref="Z55:AB55"/>
    <mergeCell ref="Z56:AB56"/>
    <mergeCell ref="Z57:AB57"/>
    <mergeCell ref="Z58:AB58"/>
    <mergeCell ref="Z59:AB59"/>
    <mergeCell ref="Z60:AB60"/>
    <mergeCell ref="Q34:U34"/>
    <mergeCell ref="Q43:U43"/>
    <mergeCell ref="Q39:U39"/>
    <mergeCell ref="Q40:U40"/>
    <mergeCell ref="Q57:U57"/>
    <mergeCell ref="Q36:U36"/>
    <mergeCell ref="W35:Y35"/>
    <mergeCell ref="L20:AF20"/>
    <mergeCell ref="AC33:AC34"/>
    <mergeCell ref="A33:A34"/>
    <mergeCell ref="Q52:U52"/>
    <mergeCell ref="Q44:U44"/>
    <mergeCell ref="Q49:U49"/>
    <mergeCell ref="L46:P46"/>
    <mergeCell ref="B44:K44"/>
    <mergeCell ref="B45:K45"/>
    <mergeCell ref="B46:K46"/>
    <mergeCell ref="B47:K47"/>
    <mergeCell ref="B48:K48"/>
    <mergeCell ref="L45:P45"/>
    <mergeCell ref="L50:P50"/>
    <mergeCell ref="L51:P51"/>
    <mergeCell ref="L52:P52"/>
    <mergeCell ref="B50:K50"/>
    <mergeCell ref="B49:K49"/>
    <mergeCell ref="L48:P48"/>
    <mergeCell ref="Q48:U48"/>
    <mergeCell ref="B51:K51"/>
    <mergeCell ref="Q47:U47"/>
    <mergeCell ref="B52:K52"/>
    <mergeCell ref="L41:P41"/>
    <mergeCell ref="W102:Y102"/>
    <mergeCell ref="W101:Y101"/>
    <mergeCell ref="W100:Y100"/>
    <mergeCell ref="W99:Y99"/>
    <mergeCell ref="W98:Y98"/>
    <mergeCell ref="W97:Y97"/>
    <mergeCell ref="W96:Y96"/>
    <mergeCell ref="W93:Y93"/>
    <mergeCell ref="W92:Y92"/>
    <mergeCell ref="W95:Y95"/>
    <mergeCell ref="W94:Y94"/>
    <mergeCell ref="Q86:U86"/>
    <mergeCell ref="Q85:U85"/>
    <mergeCell ref="Q80:U80"/>
    <mergeCell ref="Q79:U79"/>
    <mergeCell ref="Q73:U73"/>
    <mergeCell ref="Q76:U76"/>
    <mergeCell ref="Q68:U68"/>
    <mergeCell ref="Q67:U67"/>
    <mergeCell ref="Q66:U66"/>
    <mergeCell ref="B53:K53"/>
    <mergeCell ref="Q53:U53"/>
    <mergeCell ref="Q55:U55"/>
    <mergeCell ref="Q56:U56"/>
    <mergeCell ref="L53:P53"/>
    <mergeCell ref="B55:K55"/>
    <mergeCell ref="Q62:U62"/>
    <mergeCell ref="Q59:U59"/>
    <mergeCell ref="Q60:U60"/>
    <mergeCell ref="Q58:U58"/>
    <mergeCell ref="L60:P60"/>
    <mergeCell ref="L61:P61"/>
    <mergeCell ref="L62:P62"/>
    <mergeCell ref="Q54:U54"/>
    <mergeCell ref="B59:K59"/>
    <mergeCell ref="B56:K56"/>
    <mergeCell ref="Q61:U61"/>
    <mergeCell ref="B60:K60"/>
    <mergeCell ref="B61:K61"/>
    <mergeCell ref="L54:P54"/>
    <mergeCell ref="B57:K57"/>
    <mergeCell ref="L59:P59"/>
    <mergeCell ref="L55:P55"/>
    <mergeCell ref="L56:P56"/>
    <mergeCell ref="Q63:U63"/>
    <mergeCell ref="B69:K69"/>
    <mergeCell ref="B54:K54"/>
    <mergeCell ref="B95:K95"/>
    <mergeCell ref="B76:K76"/>
    <mergeCell ref="B87:K87"/>
    <mergeCell ref="B88:K88"/>
    <mergeCell ref="B81:K81"/>
    <mergeCell ref="B82:K82"/>
    <mergeCell ref="B83:K83"/>
    <mergeCell ref="L76:P76"/>
    <mergeCell ref="B71:K71"/>
    <mergeCell ref="Q91:U91"/>
    <mergeCell ref="Q64:U64"/>
    <mergeCell ref="Q65:U65"/>
    <mergeCell ref="Q72:U72"/>
    <mergeCell ref="Q75:U75"/>
    <mergeCell ref="Q90:U90"/>
    <mergeCell ref="Q89:U89"/>
    <mergeCell ref="Q69:U69"/>
    <mergeCell ref="L71:P71"/>
    <mergeCell ref="Q78:U78"/>
    <mergeCell ref="Q88:U88"/>
    <mergeCell ref="Q87:U87"/>
    <mergeCell ref="Q116:U116"/>
    <mergeCell ref="Q115:U115"/>
    <mergeCell ref="Q114:U114"/>
    <mergeCell ref="B77:K77"/>
    <mergeCell ref="B78:K78"/>
    <mergeCell ref="B79:K79"/>
    <mergeCell ref="B80:K80"/>
    <mergeCell ref="B85:K85"/>
    <mergeCell ref="B86:K86"/>
    <mergeCell ref="B104:K104"/>
    <mergeCell ref="B105:K105"/>
    <mergeCell ref="B100:K100"/>
    <mergeCell ref="B101:K101"/>
    <mergeCell ref="B102:K102"/>
    <mergeCell ref="B106:K106"/>
    <mergeCell ref="B107:K107"/>
    <mergeCell ref="B108:K108"/>
    <mergeCell ref="L106:P106"/>
    <mergeCell ref="B96:K96"/>
    <mergeCell ref="B97:K97"/>
    <mergeCell ref="Q97:U97"/>
    <mergeCell ref="Q96:U96"/>
    <mergeCell ref="L107:P107"/>
    <mergeCell ref="Q95:U95"/>
    <mergeCell ref="B135:K135"/>
    <mergeCell ref="B126:K126"/>
    <mergeCell ref="B127:K127"/>
    <mergeCell ref="B128:K128"/>
    <mergeCell ref="B129:K129"/>
    <mergeCell ref="B130:K130"/>
    <mergeCell ref="B131:K131"/>
    <mergeCell ref="B132:K132"/>
    <mergeCell ref="B133:K133"/>
    <mergeCell ref="B134:K134"/>
    <mergeCell ref="L134:P134"/>
    <mergeCell ref="L123:P123"/>
    <mergeCell ref="L124:P124"/>
    <mergeCell ref="L125:P125"/>
    <mergeCell ref="L126:P126"/>
    <mergeCell ref="L127:P127"/>
    <mergeCell ref="L128:P128"/>
    <mergeCell ref="L129:P129"/>
    <mergeCell ref="L130:P130"/>
    <mergeCell ref="L131:P131"/>
    <mergeCell ref="L133:P133"/>
    <mergeCell ref="L132:P132"/>
    <mergeCell ref="B124:K124"/>
    <mergeCell ref="B116:K116"/>
    <mergeCell ref="B109:K109"/>
    <mergeCell ref="B125:K125"/>
    <mergeCell ref="L120:P120"/>
    <mergeCell ref="L121:P121"/>
    <mergeCell ref="L116:P116"/>
    <mergeCell ref="L117:P117"/>
    <mergeCell ref="L110:P110"/>
    <mergeCell ref="B122:K122"/>
    <mergeCell ref="B110:K110"/>
    <mergeCell ref="B111:K111"/>
    <mergeCell ref="B123:K123"/>
    <mergeCell ref="B121:K121"/>
    <mergeCell ref="B120:K120"/>
    <mergeCell ref="B117:K117"/>
    <mergeCell ref="B118:K118"/>
    <mergeCell ref="B112:K112"/>
    <mergeCell ref="B113:K113"/>
    <mergeCell ref="B114:K114"/>
    <mergeCell ref="B115:K115"/>
    <mergeCell ref="B119:K119"/>
    <mergeCell ref="L122:P122"/>
    <mergeCell ref="L114:P114"/>
    <mergeCell ref="L40:P40"/>
    <mergeCell ref="L39:P39"/>
    <mergeCell ref="Q50:U50"/>
    <mergeCell ref="L47:P47"/>
    <mergeCell ref="L49:P49"/>
    <mergeCell ref="Q51:U51"/>
    <mergeCell ref="Q45:U45"/>
    <mergeCell ref="Q46:U46"/>
    <mergeCell ref="L42:P42"/>
    <mergeCell ref="L43:P43"/>
    <mergeCell ref="Q41:U41"/>
    <mergeCell ref="Q42:U42"/>
    <mergeCell ref="B41:K41"/>
    <mergeCell ref="B42:K42"/>
    <mergeCell ref="B43:K43"/>
    <mergeCell ref="L44:P44"/>
    <mergeCell ref="B67:K67"/>
    <mergeCell ref="B70:K70"/>
    <mergeCell ref="B89:K89"/>
    <mergeCell ref="B91:K91"/>
    <mergeCell ref="B72:K72"/>
    <mergeCell ref="B73:K73"/>
    <mergeCell ref="L75:P75"/>
    <mergeCell ref="L77:P77"/>
    <mergeCell ref="L87:P87"/>
    <mergeCell ref="L88:P88"/>
    <mergeCell ref="L74:P74"/>
    <mergeCell ref="B62:K62"/>
    <mergeCell ref="B63:K63"/>
    <mergeCell ref="B64:K64"/>
    <mergeCell ref="B65:K65"/>
    <mergeCell ref="B68:K68"/>
    <mergeCell ref="L84:P84"/>
    <mergeCell ref="L64:P64"/>
    <mergeCell ref="L81:P81"/>
    <mergeCell ref="L67:P67"/>
    <mergeCell ref="L101:P101"/>
    <mergeCell ref="B84:K84"/>
    <mergeCell ref="L85:P85"/>
    <mergeCell ref="L86:P86"/>
    <mergeCell ref="L73:P73"/>
    <mergeCell ref="L72:P72"/>
    <mergeCell ref="B58:K58"/>
    <mergeCell ref="L68:P68"/>
    <mergeCell ref="L69:P69"/>
    <mergeCell ref="L63:P63"/>
    <mergeCell ref="L65:P65"/>
    <mergeCell ref="L83:P83"/>
    <mergeCell ref="L78:P78"/>
    <mergeCell ref="L79:P79"/>
    <mergeCell ref="L80:P80"/>
    <mergeCell ref="L96:P96"/>
    <mergeCell ref="L97:P97"/>
    <mergeCell ref="L91:P91"/>
    <mergeCell ref="L66:P66"/>
    <mergeCell ref="B90:K90"/>
    <mergeCell ref="L95:P95"/>
    <mergeCell ref="L92:P92"/>
    <mergeCell ref="L93:P93"/>
    <mergeCell ref="Q108:U108"/>
    <mergeCell ref="Q107:U107"/>
    <mergeCell ref="Q106:U106"/>
    <mergeCell ref="Q105:U105"/>
    <mergeCell ref="Q104:U104"/>
    <mergeCell ref="Q112:U112"/>
    <mergeCell ref="B74:K74"/>
    <mergeCell ref="L58:P58"/>
    <mergeCell ref="L57:P57"/>
    <mergeCell ref="Q93:U93"/>
    <mergeCell ref="Q92:U92"/>
    <mergeCell ref="B94:K94"/>
    <mergeCell ref="B98:K98"/>
    <mergeCell ref="L102:P102"/>
    <mergeCell ref="L104:P104"/>
    <mergeCell ref="L105:P105"/>
    <mergeCell ref="B99:K99"/>
    <mergeCell ref="B103:K103"/>
    <mergeCell ref="L100:P100"/>
    <mergeCell ref="B75:K75"/>
    <mergeCell ref="B66:K66"/>
    <mergeCell ref="L99:P99"/>
    <mergeCell ref="L94:P94"/>
    <mergeCell ref="L70:P70"/>
    <mergeCell ref="Q102:U102"/>
    <mergeCell ref="Q120:U120"/>
    <mergeCell ref="Q119:U119"/>
    <mergeCell ref="Q118:U118"/>
    <mergeCell ref="Q117:U117"/>
    <mergeCell ref="L108:P108"/>
    <mergeCell ref="B92:K92"/>
    <mergeCell ref="B93:K93"/>
    <mergeCell ref="Q74:U74"/>
    <mergeCell ref="Q77:U77"/>
    <mergeCell ref="L103:P103"/>
    <mergeCell ref="L111:P111"/>
    <mergeCell ref="L112:P112"/>
    <mergeCell ref="L113:P113"/>
    <mergeCell ref="L89:P89"/>
    <mergeCell ref="L90:P90"/>
    <mergeCell ref="L82:P82"/>
    <mergeCell ref="Q100:U100"/>
    <mergeCell ref="Q101:U101"/>
    <mergeCell ref="Q94:U94"/>
    <mergeCell ref="Q113:U113"/>
    <mergeCell ref="Q111:U111"/>
    <mergeCell ref="Q110:U110"/>
    <mergeCell ref="Q109:U109"/>
    <mergeCell ref="L135:P135"/>
    <mergeCell ref="Q99:U99"/>
    <mergeCell ref="Q98:U98"/>
    <mergeCell ref="L109:P109"/>
    <mergeCell ref="L115:P115"/>
    <mergeCell ref="Q134:U134"/>
    <mergeCell ref="Q133:U133"/>
    <mergeCell ref="Q132:U132"/>
    <mergeCell ref="Q131:U131"/>
    <mergeCell ref="Q130:U130"/>
    <mergeCell ref="Q129:U129"/>
    <mergeCell ref="Q128:U128"/>
    <mergeCell ref="Q127:U127"/>
    <mergeCell ref="Q126:U126"/>
    <mergeCell ref="Q125:U125"/>
    <mergeCell ref="Q124:U124"/>
    <mergeCell ref="Q123:U123"/>
    <mergeCell ref="L98:P98"/>
    <mergeCell ref="Q103:U103"/>
    <mergeCell ref="Q122:U122"/>
    <mergeCell ref="Q121:U121"/>
    <mergeCell ref="L118:P118"/>
    <mergeCell ref="L119:P119"/>
    <mergeCell ref="Q135:U135"/>
    <mergeCell ref="Z40:AB40"/>
    <mergeCell ref="W33:Y34"/>
    <mergeCell ref="W36:Y36"/>
    <mergeCell ref="W37:Y37"/>
    <mergeCell ref="A17:A19"/>
    <mergeCell ref="B15:K15"/>
    <mergeCell ref="B16:K16"/>
    <mergeCell ref="B18:K18"/>
    <mergeCell ref="B19:K19"/>
    <mergeCell ref="L15:AF15"/>
    <mergeCell ref="L16:AF16"/>
    <mergeCell ref="B40:K40"/>
    <mergeCell ref="Q37:U37"/>
    <mergeCell ref="B33:K34"/>
    <mergeCell ref="L37:P37"/>
    <mergeCell ref="B37:K37"/>
    <mergeCell ref="L33:P34"/>
    <mergeCell ref="B35:K35"/>
    <mergeCell ref="B36:K36"/>
    <mergeCell ref="Q35:U35"/>
    <mergeCell ref="L17:O17"/>
    <mergeCell ref="Q17:U17"/>
    <mergeCell ref="L22:V22"/>
    <mergeCell ref="L35:P35"/>
    <mergeCell ref="B39:K39"/>
    <mergeCell ref="A2:AG2"/>
    <mergeCell ref="A1:AG1"/>
    <mergeCell ref="A23:A24"/>
    <mergeCell ref="A25:A26"/>
    <mergeCell ref="B21:K21"/>
    <mergeCell ref="A20:A21"/>
    <mergeCell ref="B26:K26"/>
    <mergeCell ref="B23:K23"/>
    <mergeCell ref="B25:K25"/>
    <mergeCell ref="L25:X25"/>
    <mergeCell ref="L26:X26"/>
    <mergeCell ref="B24:K24"/>
    <mergeCell ref="L23:X23"/>
    <mergeCell ref="L24:X24"/>
    <mergeCell ref="A14:AA14"/>
    <mergeCell ref="A22:K22"/>
    <mergeCell ref="A15:A16"/>
    <mergeCell ref="Z39:AB39"/>
    <mergeCell ref="C11:R11"/>
    <mergeCell ref="L36:P36"/>
    <mergeCell ref="L18:AF18"/>
    <mergeCell ref="L19:AF19"/>
    <mergeCell ref="B20:K20"/>
    <mergeCell ref="Z110:AB110"/>
    <mergeCell ref="Z111:AB111"/>
    <mergeCell ref="Z112:AB112"/>
    <mergeCell ref="Z113:AB113"/>
    <mergeCell ref="Z103:AB103"/>
    <mergeCell ref="Z104:AB104"/>
    <mergeCell ref="A3:AG3"/>
    <mergeCell ref="L21:AF21"/>
    <mergeCell ref="B17:K17"/>
    <mergeCell ref="A8:AG8"/>
    <mergeCell ref="A4:AG4"/>
    <mergeCell ref="Z106:AB106"/>
    <mergeCell ref="Z107:AB107"/>
    <mergeCell ref="Z108:AB108"/>
    <mergeCell ref="Z109:AB109"/>
    <mergeCell ref="W83:Y83"/>
    <mergeCell ref="W84:Y84"/>
    <mergeCell ref="W85:Y85"/>
    <mergeCell ref="W52:Y52"/>
    <mergeCell ref="W53:Y53"/>
    <mergeCell ref="W54:Y54"/>
    <mergeCell ref="W55:Y55"/>
    <mergeCell ref="W56:Y56"/>
    <mergeCell ref="Z50:AB50"/>
    <mergeCell ref="Z89:AB89"/>
    <mergeCell ref="Z90:AB90"/>
    <mergeCell ref="Z91:AB91"/>
    <mergeCell ref="Z92:AB92"/>
    <mergeCell ref="Z93:AB93"/>
    <mergeCell ref="Z94:AB94"/>
    <mergeCell ref="Z97:AB97"/>
    <mergeCell ref="Z98:AB98"/>
    <mergeCell ref="Z99:AB99"/>
    <mergeCell ref="Z127:AB127"/>
    <mergeCell ref="Z128:AB128"/>
    <mergeCell ref="Z129:AB129"/>
    <mergeCell ref="Z130:AB130"/>
    <mergeCell ref="Z131:AB131"/>
    <mergeCell ref="Z132:AB132"/>
    <mergeCell ref="Z123:AB123"/>
    <mergeCell ref="Z119:AB119"/>
    <mergeCell ref="Z120:AB120"/>
    <mergeCell ref="Z121:AB121"/>
    <mergeCell ref="Z122:AB122"/>
    <mergeCell ref="Z133:AB133"/>
    <mergeCell ref="Z134:AB134"/>
    <mergeCell ref="Z135:AB135"/>
    <mergeCell ref="Z72:AB72"/>
    <mergeCell ref="Z73:AB73"/>
    <mergeCell ref="Z74:AB74"/>
    <mergeCell ref="Z75:AB75"/>
    <mergeCell ref="Z76:AB76"/>
    <mergeCell ref="Z77:AB77"/>
    <mergeCell ref="Z78:AB78"/>
    <mergeCell ref="Z79:AB79"/>
    <mergeCell ref="Z80:AB80"/>
    <mergeCell ref="Z81:AB81"/>
    <mergeCell ref="Z82:AB82"/>
    <mergeCell ref="Z83:AB83"/>
    <mergeCell ref="Z84:AB84"/>
    <mergeCell ref="Z85:AB85"/>
    <mergeCell ref="Z86:AB86"/>
    <mergeCell ref="Z87:AB87"/>
    <mergeCell ref="Z88:AB88"/>
    <mergeCell ref="Z95:AB95"/>
    <mergeCell ref="Z124:AB124"/>
    <mergeCell ref="Z125:AB125"/>
    <mergeCell ref="Z126:AB126"/>
    <mergeCell ref="W114:Y114"/>
    <mergeCell ref="W115:Y115"/>
    <mergeCell ref="W116:Y116"/>
    <mergeCell ref="W117:Y117"/>
    <mergeCell ref="W118:Y118"/>
    <mergeCell ref="W119:Y119"/>
    <mergeCell ref="W121:Y121"/>
    <mergeCell ref="W120:Y120"/>
    <mergeCell ref="Z96:AB96"/>
    <mergeCell ref="W103:Y103"/>
    <mergeCell ref="W113:Y113"/>
    <mergeCell ref="Z114:AB114"/>
    <mergeCell ref="Z115:AB115"/>
    <mergeCell ref="Z116:AB116"/>
    <mergeCell ref="Z117:AB117"/>
    <mergeCell ref="Z118:AB118"/>
    <mergeCell ref="W110:Y110"/>
    <mergeCell ref="W111:Y111"/>
    <mergeCell ref="W112:Y112"/>
    <mergeCell ref="Z100:AB100"/>
    <mergeCell ref="Z101:AB101"/>
    <mergeCell ref="Z102:AB102"/>
    <mergeCell ref="W109:Y109"/>
    <mergeCell ref="Z105:AB105"/>
    <mergeCell ref="W135:Y135"/>
    <mergeCell ref="W134:Y134"/>
    <mergeCell ref="W133:Y133"/>
    <mergeCell ref="W132:Y132"/>
    <mergeCell ref="W131:Y131"/>
    <mergeCell ref="W130:Y130"/>
    <mergeCell ref="W129:Y129"/>
    <mergeCell ref="W128:Y128"/>
    <mergeCell ref="W127:Y127"/>
    <mergeCell ref="W39:Y39"/>
    <mergeCell ref="W40:Y40"/>
    <mergeCell ref="W41:Y41"/>
    <mergeCell ref="W42:Y42"/>
    <mergeCell ref="W43:Y43"/>
    <mergeCell ref="W44:Y44"/>
    <mergeCell ref="W91:Y91"/>
    <mergeCell ref="W90:Y90"/>
    <mergeCell ref="W89:Y89"/>
    <mergeCell ref="W88:Y88"/>
    <mergeCell ref="W87:Y87"/>
    <mergeCell ref="W80:Y80"/>
    <mergeCell ref="W79:Y79"/>
    <mergeCell ref="W78:Y78"/>
    <mergeCell ref="W57:Y57"/>
    <mergeCell ref="W58:Y58"/>
    <mergeCell ref="W59:Y59"/>
    <mergeCell ref="W60:Y60"/>
    <mergeCell ref="W61:Y61"/>
    <mergeCell ref="W86:Y86"/>
    <mergeCell ref="W77:Y77"/>
    <mergeCell ref="W76:Y76"/>
    <mergeCell ref="W75:Y75"/>
    <mergeCell ref="W74:Y74"/>
    <mergeCell ref="Z51:AB51"/>
    <mergeCell ref="W50:Y50"/>
    <mergeCell ref="W51:Y51"/>
    <mergeCell ref="W46:Y46"/>
    <mergeCell ref="W47:Y47"/>
    <mergeCell ref="W48:Y48"/>
    <mergeCell ref="W49:Y49"/>
    <mergeCell ref="Z41:AB41"/>
    <mergeCell ref="Z42:AB42"/>
    <mergeCell ref="Z43:AB43"/>
    <mergeCell ref="Z44:AB44"/>
    <mergeCell ref="Z45:AB45"/>
    <mergeCell ref="Z46:AB46"/>
    <mergeCell ref="Z47:AB47"/>
    <mergeCell ref="Z48:AB48"/>
    <mergeCell ref="Z49:AB49"/>
    <mergeCell ref="B38:K38"/>
    <mergeCell ref="L38:P38"/>
    <mergeCell ref="Q38:U38"/>
    <mergeCell ref="W38:Y38"/>
    <mergeCell ref="Z38:AB38"/>
    <mergeCell ref="AD33:AD34"/>
    <mergeCell ref="A30:AG30"/>
    <mergeCell ref="AF33:AF34"/>
    <mergeCell ref="W126:Y126"/>
    <mergeCell ref="W125:Y125"/>
    <mergeCell ref="W124:Y124"/>
    <mergeCell ref="W123:Y123"/>
    <mergeCell ref="W122:Y122"/>
    <mergeCell ref="A31:AF31"/>
    <mergeCell ref="W104:Y104"/>
    <mergeCell ref="W105:Y105"/>
    <mergeCell ref="W106:Y106"/>
    <mergeCell ref="W107:Y107"/>
    <mergeCell ref="W108:Y108"/>
    <mergeCell ref="W45:Y45"/>
    <mergeCell ref="Z33:AB34"/>
    <mergeCell ref="Z35:AB35"/>
    <mergeCell ref="Z36:AB36"/>
    <mergeCell ref="Z37:AB37"/>
  </mergeCells>
  <phoneticPr fontId="13"/>
  <conditionalFormatting sqref="AG35:AG135">
    <cfRule type="expression" dxfId="83" priority="2378">
      <formula>$AG35="数式を削除して手入力"</formula>
    </cfRule>
  </conditionalFormatting>
  <dataValidations xWindow="495" yWindow="386" count="4">
    <dataValidation type="textLength" imeMode="halfAlpha" operator="equal" allowBlank="1" showInputMessage="1" showErrorMessage="1" error="桁数が正しくありません。10桁の障害福祉サービス等事業所番号を入力してください。" prompt="10桁の障害福祉サービス等事業所番号を入力してください。" sqref="B35:K135" xr:uid="{C39D0BE5-0E97-474E-8910-4A5E3C5F8F13}">
      <formula1>10</formula1>
    </dataValidation>
    <dataValidation type="textLength" imeMode="halfAlpha" operator="equal" allowBlank="1" showInputMessage="1" showErrorMessage="1" error="桁数が正しくありません。13桁の法人番号を入力してください。" sqref="L22:V22" xr:uid="{90B3E385-BA7F-4F5B-BD7D-FDB3C9B5F8C4}">
      <formula1>13</formula1>
    </dataValidation>
    <dataValidation type="list" allowBlank="1" showInputMessage="1" showErrorMessage="1" sqref="V35 V41:V135" xr:uid="{66348D41-B832-432D-AE11-3C2691DEDF5E}">
      <formula1>INDIRECT(Q35)</formula1>
    </dataValidation>
    <dataValidation type="list" allowBlank="1" showInputMessage="1" showErrorMessage="1" sqref="V36:V40" xr:uid="{F3281AF2-FC3B-4B42-B635-EDFFD5EF86F7}">
      <formula1>INDIRECT($Q36)</formula1>
    </dataValidation>
  </dataValidations>
  <hyperlinks>
    <hyperlink ref="L26" r:id="rId1" display="aaa@aaa.com" xr:uid="{94BCAFBD-A696-4CEB-821A-4F7179EA9B9B}"/>
  </hyperlinks>
  <pageMargins left="0.7" right="0.7" top="0.75" bottom="0.75" header="0.3" footer="0.3"/>
  <pageSetup paperSize="9" scale="43" orientation="portrait" r:id="rId2"/>
  <rowBreaks count="1" manualBreakCount="1">
    <brk id="27" max="32" man="1"/>
  </rowBreaks>
  <drawing r:id="rId3"/>
  <legacyDrawing r:id="rId4"/>
  <extLst>
    <ext xmlns:x14="http://schemas.microsoft.com/office/spreadsheetml/2009/9/main" uri="{CCE6A557-97BC-4b89-ADB6-D9C93CAAB3DF}">
      <x14:dataValidations xmlns:xm="http://schemas.microsoft.com/office/excel/2006/main" xWindow="495" yWindow="386" count="3">
        <x14:dataValidation type="list" allowBlank="1" showInputMessage="1" showErrorMessage="1" xr:uid="{81748AE2-D3F3-4029-8C6E-F82606D98F83}">
          <x14:formula1>
            <xm:f>【参考】数式用!$A$4:$A$57</xm:f>
          </x14:formula1>
          <xm:sqref>Z35:AB135</xm:sqref>
        </x14:dataValidation>
        <x14:dataValidation type="list" allowBlank="1" showInputMessage="1" showErrorMessage="1" xr:uid="{9DAE3ADC-92C3-476C-AED7-ABA654180295}">
          <x14:formula1>
            <xm:f>【参考】数式用!$T$3:$T$49</xm:f>
          </x14:formula1>
          <xm:sqref>Q35:U135</xm:sqref>
        </x14:dataValidation>
        <x14:dataValidation type="list" allowBlank="1" showInputMessage="1" showErrorMessage="1" xr:uid="{ABEFFC7B-765A-4EF6-91B7-472D105CA920}">
          <x14:formula1>
            <xm:f>【参考】数式用!$AJ$3:$AJ$4</xm:f>
          </x14:formula1>
          <xm:sqref>AG31</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21D6C7-53D8-46AB-962E-5C3913B53359}">
  <dimension ref="A1:BN175"/>
  <sheetViews>
    <sheetView tabSelected="1" view="pageBreakPreview" zoomScale="110" zoomScaleNormal="120" zoomScaleSheetLayoutView="110" zoomScalePageLayoutView="64" workbookViewId="0">
      <selection activeCell="AI64" sqref="AI64:AJ64"/>
    </sheetView>
  </sheetViews>
  <sheetFormatPr defaultColWidth="2.625" defaultRowHeight="13.5"/>
  <cols>
    <col min="1" max="1" width="2.125" customWidth="1"/>
    <col min="2" max="2" width="3.125" customWidth="1"/>
    <col min="3" max="4" width="2.375" customWidth="1"/>
    <col min="5" max="5" width="3" customWidth="1"/>
    <col min="6" max="14" width="2.375" customWidth="1"/>
    <col min="15" max="15" width="1.375" customWidth="1"/>
    <col min="16" max="16" width="8.125" customWidth="1"/>
    <col min="17" max="18" width="2.375" customWidth="1"/>
    <col min="19" max="19" width="3.375" customWidth="1"/>
    <col min="20" max="28" width="2.375" customWidth="1"/>
    <col min="29" max="29" width="3.375" customWidth="1"/>
    <col min="30" max="30" width="4.625" customWidth="1"/>
    <col min="31" max="35" width="2.375" customWidth="1"/>
    <col min="36" max="36" width="4.375" customWidth="1"/>
    <col min="37" max="37" width="7.375" customWidth="1"/>
    <col min="38" max="38" width="2.375" customWidth="1"/>
    <col min="39" max="39" width="7.375" customWidth="1"/>
    <col min="40" max="40" width="8.125" customWidth="1"/>
    <col min="41" max="41" width="5.375" customWidth="1"/>
    <col min="42" max="42" width="6" customWidth="1"/>
    <col min="43" max="43" width="7.375" customWidth="1"/>
    <col min="44" max="44" width="9.375" customWidth="1"/>
    <col min="45" max="45" width="5.625" customWidth="1"/>
    <col min="46" max="46" width="8.375" customWidth="1"/>
    <col min="47" max="47" width="8" customWidth="1"/>
    <col min="48" max="48" width="6" customWidth="1"/>
    <col min="49" max="49" width="7.375" customWidth="1"/>
    <col min="50" max="50" width="4.875" customWidth="1"/>
    <col min="51" max="51" width="6.625" customWidth="1"/>
    <col min="52" max="52" width="6.375" customWidth="1"/>
    <col min="53" max="54" width="9.375" customWidth="1"/>
    <col min="55" max="58" width="4.125" customWidth="1"/>
    <col min="59" max="59" width="9.875" customWidth="1"/>
    <col min="60" max="60" width="9.375" customWidth="1"/>
    <col min="61" max="63" width="4.125" customWidth="1"/>
    <col min="66" max="66" width="9" customWidth="1"/>
  </cols>
  <sheetData>
    <row r="1" spans="1:51" ht="18.75" customHeight="1" thickBot="1">
      <c r="A1" s="18"/>
      <c r="B1" s="116" t="s">
        <v>44</v>
      </c>
      <c r="C1" s="23"/>
      <c r="D1" s="23"/>
      <c r="E1" s="23"/>
      <c r="F1" s="23"/>
      <c r="G1" s="23"/>
      <c r="H1" s="23"/>
      <c r="I1" s="23"/>
      <c r="J1" s="23"/>
      <c r="K1" s="23"/>
      <c r="L1" s="23"/>
      <c r="M1" s="23"/>
      <c r="N1" s="23"/>
      <c r="O1" s="23"/>
      <c r="P1" s="23"/>
      <c r="Q1" s="23"/>
      <c r="R1" s="23"/>
      <c r="S1" s="23"/>
      <c r="T1" s="23"/>
      <c r="U1" s="23"/>
      <c r="V1" s="23"/>
      <c r="W1" s="23"/>
      <c r="X1" s="23"/>
      <c r="Y1" s="23"/>
      <c r="Z1" s="96"/>
      <c r="AA1" s="96"/>
      <c r="AB1" s="96"/>
      <c r="AC1" s="935" t="s">
        <v>3</v>
      </c>
      <c r="AD1" s="935"/>
      <c r="AE1" s="935"/>
      <c r="AF1" s="935" t="str">
        <f>IF(基本情報入力シート!C11="","",基本情報入力シート!C11)</f>
        <v>東京都</v>
      </c>
      <c r="AG1" s="935"/>
      <c r="AH1" s="935"/>
      <c r="AI1" s="935"/>
      <c r="AJ1" s="935"/>
      <c r="AK1" s="936"/>
      <c r="AL1" s="18"/>
      <c r="AM1" s="18"/>
      <c r="AN1" s="18"/>
      <c r="AO1" s="18"/>
      <c r="AP1" s="18"/>
      <c r="AQ1" s="18"/>
      <c r="AR1" s="18"/>
      <c r="AS1" s="18"/>
      <c r="AT1" s="18"/>
      <c r="AU1" s="18"/>
      <c r="AV1" s="18"/>
      <c r="AW1" s="18"/>
      <c r="AX1" s="18"/>
      <c r="AY1" s="18"/>
    </row>
    <row r="2" spans="1:51" ht="4.1500000000000004" customHeight="1">
      <c r="A2" s="18"/>
      <c r="B2" s="23"/>
      <c r="C2" s="23"/>
      <c r="D2" s="23"/>
      <c r="E2" s="23"/>
      <c r="F2" s="23"/>
      <c r="G2" s="23"/>
      <c r="H2" s="23"/>
      <c r="I2" s="23"/>
      <c r="J2" s="23"/>
      <c r="K2" s="23"/>
      <c r="L2" s="23"/>
      <c r="M2" s="23"/>
      <c r="N2" s="23"/>
      <c r="O2" s="23"/>
      <c r="P2" s="23"/>
      <c r="Q2" s="23"/>
      <c r="R2" s="23"/>
      <c r="S2" s="23"/>
      <c r="T2" s="23"/>
      <c r="U2" s="23"/>
      <c r="V2" s="23"/>
      <c r="W2" s="23"/>
      <c r="X2" s="23"/>
      <c r="Y2" s="23"/>
      <c r="Z2" s="23"/>
      <c r="AA2" s="23"/>
      <c r="AB2" s="23"/>
      <c r="AC2" s="23"/>
      <c r="AD2" s="23"/>
      <c r="AE2" s="23"/>
      <c r="AF2" s="23"/>
      <c r="AG2" s="23"/>
      <c r="AH2" s="23"/>
      <c r="AI2" s="23"/>
      <c r="AJ2" s="23"/>
      <c r="AK2" s="23"/>
      <c r="AL2" s="18"/>
      <c r="AM2" s="18"/>
      <c r="AN2" s="18"/>
      <c r="AO2" s="18"/>
      <c r="AP2" s="18"/>
      <c r="AQ2" s="18"/>
      <c r="AR2" s="18"/>
      <c r="AS2" s="18"/>
      <c r="AT2" s="18"/>
      <c r="AU2" s="18"/>
      <c r="AV2" s="18"/>
      <c r="AW2" s="18"/>
      <c r="AX2" s="18"/>
      <c r="AY2" s="18"/>
    </row>
    <row r="3" spans="1:51" ht="18.600000000000001" customHeight="1">
      <c r="A3" s="18"/>
      <c r="B3" s="937" t="s">
        <v>2234</v>
      </c>
      <c r="C3" s="937"/>
      <c r="D3" s="937"/>
      <c r="E3" s="937"/>
      <c r="F3" s="937"/>
      <c r="G3" s="937"/>
      <c r="H3" s="937"/>
      <c r="I3" s="937"/>
      <c r="J3" s="937"/>
      <c r="K3" s="937"/>
      <c r="L3" s="937"/>
      <c r="M3" s="937"/>
      <c r="N3" s="937"/>
      <c r="O3" s="937"/>
      <c r="P3" s="937"/>
      <c r="Q3" s="937"/>
      <c r="R3" s="937"/>
      <c r="S3" s="937"/>
      <c r="T3" s="937"/>
      <c r="U3" s="937"/>
      <c r="V3" s="937"/>
      <c r="W3" s="937"/>
      <c r="X3" s="937"/>
      <c r="Y3" s="937"/>
      <c r="Z3" s="937"/>
      <c r="AA3" s="937"/>
      <c r="AB3" s="937"/>
      <c r="AC3" s="937"/>
      <c r="AD3" s="937"/>
      <c r="AE3" s="937"/>
      <c r="AF3" s="937"/>
      <c r="AG3" s="937"/>
      <c r="AH3" s="937"/>
      <c r="AI3" s="937"/>
      <c r="AJ3" s="937"/>
      <c r="AK3" s="937"/>
      <c r="AL3" s="117"/>
      <c r="AM3" s="118"/>
      <c r="AN3" s="18"/>
      <c r="AO3" s="18"/>
      <c r="AP3" s="18"/>
      <c r="AQ3" s="18"/>
      <c r="AR3" s="18"/>
      <c r="AS3" s="18"/>
      <c r="AT3" s="18"/>
      <c r="AU3" s="18"/>
      <c r="AV3" s="18"/>
      <c r="AW3" s="18"/>
      <c r="AX3" s="18"/>
      <c r="AY3" s="18"/>
    </row>
    <row r="4" spans="1:51" ht="19.5" customHeight="1">
      <c r="A4" s="18"/>
      <c r="B4" s="21" t="s">
        <v>45</v>
      </c>
      <c r="C4" s="21"/>
      <c r="D4" s="21"/>
      <c r="E4" s="21"/>
      <c r="F4" s="21"/>
      <c r="G4" s="21"/>
      <c r="H4" s="21"/>
      <c r="I4" s="21"/>
      <c r="J4" s="119"/>
      <c r="K4" s="119"/>
      <c r="L4" s="119"/>
      <c r="M4" s="119"/>
      <c r="N4" s="119"/>
      <c r="O4" s="119"/>
      <c r="P4" s="119"/>
      <c r="Q4" s="119"/>
      <c r="R4" s="119"/>
      <c r="S4" s="119"/>
      <c r="T4" s="119"/>
      <c r="U4" s="119"/>
      <c r="V4" s="119"/>
      <c r="W4" s="119"/>
      <c r="X4" s="119"/>
      <c r="Y4" s="119"/>
      <c r="Z4" s="119"/>
      <c r="AA4" s="119"/>
      <c r="AB4" s="119"/>
      <c r="AC4" s="119"/>
      <c r="AD4" s="119"/>
      <c r="AE4" s="119"/>
      <c r="AF4" s="119"/>
      <c r="AG4" s="119"/>
      <c r="AH4" s="119"/>
      <c r="AI4" s="119"/>
      <c r="AJ4" s="119"/>
      <c r="AK4" s="119"/>
      <c r="AL4" s="18"/>
      <c r="AM4" s="18"/>
      <c r="AN4" s="18"/>
      <c r="AO4" s="18"/>
      <c r="AP4" s="18"/>
      <c r="AQ4" s="18"/>
      <c r="AR4" s="18"/>
      <c r="AS4" s="18"/>
      <c r="AT4" s="18"/>
      <c r="AU4" s="18"/>
      <c r="AV4" s="18"/>
      <c r="AW4" s="18"/>
      <c r="AX4" s="18"/>
      <c r="AY4" s="18"/>
    </row>
    <row r="5" spans="1:51" s="13" customFormat="1" ht="13.5" customHeight="1">
      <c r="A5" s="19"/>
      <c r="B5" s="938" t="s">
        <v>8</v>
      </c>
      <c r="C5" s="938"/>
      <c r="D5" s="938"/>
      <c r="E5" s="938"/>
      <c r="F5" s="938"/>
      <c r="G5" s="938"/>
      <c r="H5" s="933" t="str">
        <f>IF(基本情報入力シート!L15="","",基本情報入力シート!L15)</f>
        <v>○○サービスジギョウショ</v>
      </c>
      <c r="I5" s="933"/>
      <c r="J5" s="933"/>
      <c r="K5" s="933"/>
      <c r="L5" s="933"/>
      <c r="M5" s="933"/>
      <c r="N5" s="933"/>
      <c r="O5" s="933"/>
      <c r="P5" s="933"/>
      <c r="Q5" s="933"/>
      <c r="R5" s="933"/>
      <c r="S5" s="933"/>
      <c r="T5" s="933"/>
      <c r="U5" s="933"/>
      <c r="V5" s="933"/>
      <c r="W5" s="933"/>
      <c r="X5" s="933"/>
      <c r="Y5" s="933"/>
      <c r="Z5" s="933"/>
      <c r="AA5" s="933"/>
      <c r="AB5" s="933"/>
      <c r="AC5" s="933"/>
      <c r="AD5" s="933"/>
      <c r="AE5" s="933"/>
      <c r="AF5" s="933"/>
      <c r="AG5" s="933"/>
      <c r="AH5" s="933"/>
      <c r="AI5" s="933"/>
      <c r="AJ5" s="933"/>
      <c r="AK5" s="934"/>
      <c r="AL5" s="19"/>
      <c r="AM5" s="19"/>
      <c r="AN5" s="19"/>
      <c r="AO5" s="19"/>
      <c r="AP5" s="19"/>
      <c r="AQ5" s="19"/>
      <c r="AR5" s="19"/>
      <c r="AS5" s="19"/>
      <c r="AT5" s="19"/>
      <c r="AU5" s="19"/>
      <c r="AV5" s="19"/>
      <c r="AW5" s="19"/>
      <c r="AX5" s="19"/>
      <c r="AY5" s="19"/>
    </row>
    <row r="6" spans="1:51" s="13" customFormat="1" ht="25.5" customHeight="1">
      <c r="A6" s="19"/>
      <c r="B6" s="939" t="s">
        <v>46</v>
      </c>
      <c r="C6" s="939"/>
      <c r="D6" s="939"/>
      <c r="E6" s="939"/>
      <c r="F6" s="939"/>
      <c r="G6" s="939"/>
      <c r="H6" s="940" t="str">
        <f>IF(基本情報入力シート!L16="","",基本情報入力シート!L16)</f>
        <v>○○サービス事業所</v>
      </c>
      <c r="I6" s="940"/>
      <c r="J6" s="940"/>
      <c r="K6" s="940"/>
      <c r="L6" s="940"/>
      <c r="M6" s="940"/>
      <c r="N6" s="940"/>
      <c r="O6" s="940"/>
      <c r="P6" s="940"/>
      <c r="Q6" s="940"/>
      <c r="R6" s="940"/>
      <c r="S6" s="940"/>
      <c r="T6" s="940"/>
      <c r="U6" s="940"/>
      <c r="V6" s="940"/>
      <c r="W6" s="940"/>
      <c r="X6" s="940"/>
      <c r="Y6" s="940"/>
      <c r="Z6" s="940"/>
      <c r="AA6" s="940"/>
      <c r="AB6" s="940"/>
      <c r="AC6" s="940"/>
      <c r="AD6" s="940"/>
      <c r="AE6" s="940"/>
      <c r="AF6" s="940"/>
      <c r="AG6" s="940"/>
      <c r="AH6" s="940"/>
      <c r="AI6" s="940"/>
      <c r="AJ6" s="940"/>
      <c r="AK6" s="941"/>
      <c r="AL6" s="19"/>
      <c r="AM6" s="19"/>
      <c r="AN6" s="19"/>
      <c r="AO6" s="19"/>
      <c r="AP6" s="19"/>
      <c r="AQ6" s="19"/>
      <c r="AR6" s="19"/>
      <c r="AS6" s="19"/>
      <c r="AT6" s="19"/>
      <c r="AU6" s="19"/>
      <c r="AV6" s="19"/>
      <c r="AW6" s="19"/>
      <c r="AX6" s="19"/>
      <c r="AY6" s="19"/>
    </row>
    <row r="7" spans="1:51" s="13" customFormat="1" ht="12.75" customHeight="1">
      <c r="A7" s="19"/>
      <c r="B7" s="927" t="s">
        <v>47</v>
      </c>
      <c r="C7" s="927"/>
      <c r="D7" s="927"/>
      <c r="E7" s="927"/>
      <c r="F7" s="927"/>
      <c r="G7" s="927"/>
      <c r="H7" s="120" t="s">
        <v>11</v>
      </c>
      <c r="I7" s="928" t="str">
        <f>IF(基本情報入力シート!AO18="－","",基本情報入力シート!AO18)</f>
        <v>100-１２３４</v>
      </c>
      <c r="J7" s="928"/>
      <c r="K7" s="928"/>
      <c r="L7" s="928"/>
      <c r="M7" s="121"/>
      <c r="N7" s="121"/>
      <c r="O7" s="121"/>
      <c r="P7" s="121"/>
      <c r="Q7" s="121"/>
      <c r="R7" s="121"/>
      <c r="S7" s="121"/>
      <c r="T7" s="121"/>
      <c r="U7" s="121"/>
      <c r="V7" s="121"/>
      <c r="W7" s="121"/>
      <c r="X7" s="121"/>
      <c r="Y7" s="121"/>
      <c r="Z7" s="121"/>
      <c r="AA7" s="121"/>
      <c r="AB7" s="121"/>
      <c r="AC7" s="121"/>
      <c r="AD7" s="121"/>
      <c r="AE7" s="121"/>
      <c r="AF7" s="121"/>
      <c r="AG7" s="121"/>
      <c r="AH7" s="121"/>
      <c r="AI7" s="121"/>
      <c r="AJ7" s="121"/>
      <c r="AK7" s="369"/>
      <c r="AL7" s="19"/>
      <c r="AM7" s="19"/>
      <c r="AN7" s="19"/>
      <c r="AO7" s="19"/>
      <c r="AP7" s="19"/>
      <c r="AQ7" s="19"/>
      <c r="AR7" s="19"/>
      <c r="AS7" s="19"/>
      <c r="AT7" s="19"/>
      <c r="AU7" s="19"/>
      <c r="AV7" s="19"/>
      <c r="AW7" s="19"/>
      <c r="AX7" s="19"/>
      <c r="AY7" s="19"/>
    </row>
    <row r="8" spans="1:51" s="13" customFormat="1" ht="16.5" customHeight="1">
      <c r="A8" s="19"/>
      <c r="B8" s="927"/>
      <c r="C8" s="927"/>
      <c r="D8" s="927"/>
      <c r="E8" s="927"/>
      <c r="F8" s="927"/>
      <c r="G8" s="927"/>
      <c r="H8" s="929" t="str">
        <f>IF(基本情報入力シート!L18="","",基本情報入力シート!L18)</f>
        <v>東京都千代田区霞が関1-2-2</v>
      </c>
      <c r="I8" s="929"/>
      <c r="J8" s="929"/>
      <c r="K8" s="929"/>
      <c r="L8" s="929"/>
      <c r="M8" s="929"/>
      <c r="N8" s="929"/>
      <c r="O8" s="929"/>
      <c r="P8" s="929"/>
      <c r="Q8" s="929"/>
      <c r="R8" s="929"/>
      <c r="S8" s="929"/>
      <c r="T8" s="929"/>
      <c r="U8" s="929"/>
      <c r="V8" s="929"/>
      <c r="W8" s="929"/>
      <c r="X8" s="929"/>
      <c r="Y8" s="929"/>
      <c r="Z8" s="929"/>
      <c r="AA8" s="929"/>
      <c r="AB8" s="929"/>
      <c r="AC8" s="929"/>
      <c r="AD8" s="929"/>
      <c r="AE8" s="929"/>
      <c r="AF8" s="929"/>
      <c r="AG8" s="929"/>
      <c r="AH8" s="929"/>
      <c r="AI8" s="929"/>
      <c r="AJ8" s="929"/>
      <c r="AK8" s="929"/>
      <c r="AL8" s="19"/>
      <c r="AM8" s="19"/>
      <c r="AN8" s="19"/>
      <c r="AO8" s="19"/>
      <c r="AP8" s="19"/>
      <c r="AQ8" s="19"/>
      <c r="AR8" s="19"/>
      <c r="AS8" s="19"/>
      <c r="AT8" s="19"/>
      <c r="AU8" s="19"/>
      <c r="AV8" s="19"/>
      <c r="AW8" s="19"/>
      <c r="AX8" s="19"/>
      <c r="AY8" s="19" t="b">
        <v>1</v>
      </c>
    </row>
    <row r="9" spans="1:51" s="13" customFormat="1" ht="16.5" customHeight="1">
      <c r="A9" s="19"/>
      <c r="B9" s="927"/>
      <c r="C9" s="927"/>
      <c r="D9" s="927"/>
      <c r="E9" s="927"/>
      <c r="F9" s="927"/>
      <c r="G9" s="927"/>
      <c r="H9" s="930" t="str">
        <f>IF(基本情報入力シート!L19="","",基本情報入力シート!L19)</f>
        <v>○○ビル○○号室</v>
      </c>
      <c r="I9" s="930"/>
      <c r="J9" s="930"/>
      <c r="K9" s="930"/>
      <c r="L9" s="930"/>
      <c r="M9" s="930"/>
      <c r="N9" s="930"/>
      <c r="O9" s="930"/>
      <c r="P9" s="930"/>
      <c r="Q9" s="930"/>
      <c r="R9" s="930"/>
      <c r="S9" s="930"/>
      <c r="T9" s="930"/>
      <c r="U9" s="930"/>
      <c r="V9" s="930"/>
      <c r="W9" s="930"/>
      <c r="X9" s="930"/>
      <c r="Y9" s="930"/>
      <c r="Z9" s="930"/>
      <c r="AA9" s="930"/>
      <c r="AB9" s="930"/>
      <c r="AC9" s="930"/>
      <c r="AD9" s="930"/>
      <c r="AE9" s="930"/>
      <c r="AF9" s="930"/>
      <c r="AG9" s="930"/>
      <c r="AH9" s="930"/>
      <c r="AI9" s="930"/>
      <c r="AJ9" s="930"/>
      <c r="AK9" s="931"/>
      <c r="AL9" s="19"/>
      <c r="AM9" s="19"/>
      <c r="AN9" s="19"/>
      <c r="AO9" s="19"/>
      <c r="AP9" s="19"/>
      <c r="AQ9" s="19"/>
      <c r="AR9" s="19"/>
      <c r="AS9" s="19"/>
      <c r="AT9" s="19"/>
      <c r="AU9" s="19"/>
      <c r="AV9" s="19"/>
      <c r="AW9" s="19"/>
      <c r="AX9" s="19"/>
      <c r="AY9" s="19"/>
    </row>
    <row r="10" spans="1:51" s="13" customFormat="1" ht="13.5" customHeight="1">
      <c r="A10" s="19"/>
      <c r="B10" s="932" t="s">
        <v>8</v>
      </c>
      <c r="C10" s="932"/>
      <c r="D10" s="932"/>
      <c r="E10" s="932"/>
      <c r="F10" s="932"/>
      <c r="G10" s="932"/>
      <c r="H10" s="933" t="str">
        <f>IF(基本情報入力シート!L23="","",基本情報入力シート!L23)</f>
        <v>コウロウ　ハナコ</v>
      </c>
      <c r="I10" s="933"/>
      <c r="J10" s="933"/>
      <c r="K10" s="933"/>
      <c r="L10" s="933"/>
      <c r="M10" s="933"/>
      <c r="N10" s="933"/>
      <c r="O10" s="933"/>
      <c r="P10" s="933"/>
      <c r="Q10" s="933"/>
      <c r="R10" s="933"/>
      <c r="S10" s="933"/>
      <c r="T10" s="933"/>
      <c r="U10" s="933"/>
      <c r="V10" s="933"/>
      <c r="W10" s="933"/>
      <c r="X10" s="933"/>
      <c r="Y10" s="933"/>
      <c r="Z10" s="933"/>
      <c r="AA10" s="933"/>
      <c r="AB10" s="933"/>
      <c r="AC10" s="933"/>
      <c r="AD10" s="933"/>
      <c r="AE10" s="933"/>
      <c r="AF10" s="933"/>
      <c r="AG10" s="933"/>
      <c r="AH10" s="933"/>
      <c r="AI10" s="933"/>
      <c r="AJ10" s="933"/>
      <c r="AK10" s="934"/>
      <c r="AL10" s="19"/>
      <c r="AM10" s="19"/>
      <c r="AN10" s="19"/>
      <c r="AO10" s="19"/>
      <c r="AP10" s="19"/>
      <c r="AQ10" s="19"/>
      <c r="AR10" s="19"/>
      <c r="AS10" s="19"/>
      <c r="AT10" s="19"/>
      <c r="AU10" s="19"/>
      <c r="AV10" s="19"/>
      <c r="AW10" s="19"/>
      <c r="AX10" s="19"/>
      <c r="AY10" s="19"/>
    </row>
    <row r="11" spans="1:51" s="13" customFormat="1" ht="22.5" customHeight="1">
      <c r="A11" s="19"/>
      <c r="B11" s="919" t="s">
        <v>48</v>
      </c>
      <c r="C11" s="919"/>
      <c r="D11" s="919"/>
      <c r="E11" s="919"/>
      <c r="F11" s="919"/>
      <c r="G11" s="919"/>
      <c r="H11" s="920" t="str">
        <f>IF(基本情報入力シート!L24="","",基本情報入力シート!L24)</f>
        <v>厚労　花子</v>
      </c>
      <c r="I11" s="920"/>
      <c r="J11" s="920"/>
      <c r="K11" s="920"/>
      <c r="L11" s="920"/>
      <c r="M11" s="920"/>
      <c r="N11" s="920"/>
      <c r="O11" s="920"/>
      <c r="P11" s="920"/>
      <c r="Q11" s="920"/>
      <c r="R11" s="920"/>
      <c r="S11" s="920"/>
      <c r="T11" s="920"/>
      <c r="U11" s="920"/>
      <c r="V11" s="920"/>
      <c r="W11" s="920"/>
      <c r="X11" s="920"/>
      <c r="Y11" s="920"/>
      <c r="Z11" s="920"/>
      <c r="AA11" s="920"/>
      <c r="AB11" s="920"/>
      <c r="AC11" s="920"/>
      <c r="AD11" s="920"/>
      <c r="AE11" s="920"/>
      <c r="AF11" s="920"/>
      <c r="AG11" s="920"/>
      <c r="AH11" s="920"/>
      <c r="AI11" s="920"/>
      <c r="AJ11" s="920"/>
      <c r="AK11" s="921"/>
      <c r="AL11" s="19"/>
      <c r="AM11" s="19"/>
      <c r="AN11" s="19"/>
      <c r="AO11" s="19"/>
      <c r="AP11" s="19"/>
      <c r="AQ11" s="19"/>
      <c r="AR11" s="19"/>
      <c r="AS11" s="19"/>
      <c r="AT11" s="19"/>
      <c r="AU11" s="19"/>
      <c r="AV11" s="19"/>
      <c r="AW11" s="19"/>
      <c r="AX11" s="19"/>
      <c r="AY11" s="19"/>
    </row>
    <row r="12" spans="1:51" s="13" customFormat="1" ht="18.75" customHeight="1">
      <c r="A12" s="19"/>
      <c r="B12" s="922" t="s">
        <v>49</v>
      </c>
      <c r="C12" s="922"/>
      <c r="D12" s="922"/>
      <c r="E12" s="922"/>
      <c r="F12" s="922"/>
      <c r="G12" s="922"/>
      <c r="H12" s="922" t="s">
        <v>26</v>
      </c>
      <c r="I12" s="923"/>
      <c r="J12" s="923"/>
      <c r="K12" s="923"/>
      <c r="L12" s="924" t="str">
        <f>IF(基本情報入力シート!L25="","",基本情報入力シート!L25)</f>
        <v>03-3571-XXXX</v>
      </c>
      <c r="M12" s="924"/>
      <c r="N12" s="924"/>
      <c r="O12" s="924"/>
      <c r="P12" s="924"/>
      <c r="Q12" s="924"/>
      <c r="R12" s="924"/>
      <c r="S12" s="924"/>
      <c r="T12" s="924"/>
      <c r="U12" s="924"/>
      <c r="V12" s="925" t="s">
        <v>27</v>
      </c>
      <c r="W12" s="925"/>
      <c r="X12" s="925"/>
      <c r="Y12" s="925"/>
      <c r="Z12" s="924" t="str">
        <f>IF(基本情報入力シート!L26="","",基本情報入力シート!L26)</f>
        <v>aaa@aaa.aa.jp</v>
      </c>
      <c r="AA12" s="924"/>
      <c r="AB12" s="924"/>
      <c r="AC12" s="924"/>
      <c r="AD12" s="924"/>
      <c r="AE12" s="924"/>
      <c r="AF12" s="924"/>
      <c r="AG12" s="924"/>
      <c r="AH12" s="924"/>
      <c r="AI12" s="924"/>
      <c r="AJ12" s="924"/>
      <c r="AK12" s="926"/>
      <c r="AL12" s="19"/>
      <c r="AM12" s="19"/>
      <c r="AN12" s="19"/>
      <c r="AO12" s="19"/>
      <c r="AP12" s="19"/>
      <c r="AQ12" s="19"/>
      <c r="AR12" s="19"/>
      <c r="AS12" s="19"/>
      <c r="AT12" s="19"/>
      <c r="AU12" s="19"/>
      <c r="AV12" s="19"/>
      <c r="AW12" s="19"/>
      <c r="AX12" s="19"/>
      <c r="AY12" s="19"/>
    </row>
    <row r="13" spans="1:51" ht="7.5" customHeight="1">
      <c r="A13" s="18"/>
      <c r="B13" s="23"/>
      <c r="C13" s="23"/>
      <c r="D13" s="23"/>
      <c r="E13" s="23"/>
      <c r="F13" s="23"/>
      <c r="G13" s="23"/>
      <c r="H13" s="23"/>
      <c r="I13" s="23"/>
      <c r="J13" s="23"/>
      <c r="K13" s="23"/>
      <c r="L13" s="23"/>
      <c r="M13" s="23"/>
      <c r="N13" s="23"/>
      <c r="O13" s="23"/>
      <c r="P13" s="23"/>
      <c r="Q13" s="23"/>
      <c r="R13" s="23"/>
      <c r="S13" s="23"/>
      <c r="T13" s="23"/>
      <c r="U13" s="23"/>
      <c r="V13" s="23"/>
      <c r="W13" s="23"/>
      <c r="X13" s="23"/>
      <c r="Y13" s="23"/>
      <c r="Z13" s="23"/>
      <c r="AA13" s="23"/>
      <c r="AB13" s="23"/>
      <c r="AC13" s="23"/>
      <c r="AD13" s="23"/>
      <c r="AE13" s="23"/>
      <c r="AF13" s="23"/>
      <c r="AG13" s="23"/>
      <c r="AH13" s="23"/>
      <c r="AI13" s="23"/>
      <c r="AJ13" s="23"/>
      <c r="AK13" s="23"/>
      <c r="AL13" s="18"/>
      <c r="AM13" s="18"/>
      <c r="AN13" s="18"/>
      <c r="AO13" s="18"/>
      <c r="AP13" s="18"/>
      <c r="AQ13" s="18"/>
      <c r="AR13" s="18"/>
      <c r="AS13" s="18"/>
      <c r="AT13" s="18"/>
      <c r="AU13" s="18"/>
      <c r="AV13" s="18"/>
      <c r="AW13" s="18"/>
      <c r="AX13" s="18"/>
      <c r="AY13" s="18"/>
    </row>
    <row r="14" spans="1:51" ht="21.6" customHeight="1">
      <c r="A14" s="18"/>
      <c r="B14" s="122" t="s">
        <v>50</v>
      </c>
      <c r="C14" s="123"/>
      <c r="D14" s="123"/>
      <c r="E14" s="123"/>
      <c r="F14" s="123"/>
      <c r="G14" s="123"/>
      <c r="H14" s="123"/>
      <c r="I14" s="123"/>
      <c r="J14" s="123"/>
      <c r="K14" s="123"/>
      <c r="L14" s="123"/>
      <c r="M14" s="123"/>
      <c r="N14" s="123"/>
      <c r="O14" s="123"/>
      <c r="P14" s="123"/>
      <c r="Q14" s="123"/>
      <c r="R14" s="123"/>
      <c r="S14" s="123"/>
      <c r="T14" s="123"/>
      <c r="U14" s="123"/>
      <c r="V14" s="123"/>
      <c r="W14" s="123"/>
      <c r="X14" s="123"/>
      <c r="Y14" s="123"/>
      <c r="Z14" s="123"/>
      <c r="AA14" s="123"/>
      <c r="AB14" s="123"/>
      <c r="AC14" s="123"/>
      <c r="AD14" s="123"/>
      <c r="AE14" s="123"/>
      <c r="AF14" s="123"/>
      <c r="AG14" s="123"/>
      <c r="AH14" s="123"/>
      <c r="AI14" s="123"/>
      <c r="AJ14" s="123"/>
      <c r="AK14" s="123"/>
      <c r="AL14" s="18"/>
      <c r="AM14" s="18"/>
      <c r="AN14" s="18"/>
      <c r="AO14" s="18"/>
      <c r="AP14" s="18"/>
      <c r="AQ14" s="18"/>
      <c r="AR14" s="18"/>
      <c r="AS14" s="18"/>
      <c r="AT14" s="18"/>
      <c r="AU14" s="18"/>
      <c r="AV14" s="18"/>
      <c r="AW14" s="18"/>
      <c r="AX14" s="18"/>
      <c r="AY14" s="18"/>
    </row>
    <row r="15" spans="1:51" ht="18.75" customHeight="1" thickBot="1">
      <c r="B15" s="896" t="s">
        <v>51</v>
      </c>
      <c r="C15" s="896"/>
      <c r="D15" s="896"/>
      <c r="E15" s="896"/>
      <c r="F15" s="896"/>
      <c r="G15" s="896"/>
      <c r="H15" s="896"/>
      <c r="I15" s="896"/>
      <c r="J15" s="896"/>
      <c r="K15" s="896"/>
      <c r="L15" s="896"/>
      <c r="M15" s="896"/>
      <c r="N15" s="896"/>
      <c r="O15" s="896"/>
      <c r="P15" s="896"/>
      <c r="Q15" s="910"/>
      <c r="R15" s="910"/>
      <c r="S15" s="910"/>
      <c r="T15" s="910"/>
      <c r="U15" s="910"/>
      <c r="V15" s="910"/>
      <c r="W15" s="911"/>
      <c r="X15" s="23"/>
      <c r="Y15" s="23"/>
      <c r="Z15" s="23"/>
      <c r="AA15" s="23"/>
      <c r="AB15" s="23"/>
      <c r="AC15" s="23"/>
      <c r="AD15" s="23"/>
      <c r="AE15" s="23"/>
      <c r="AF15" s="23"/>
      <c r="AG15" s="23"/>
      <c r="AH15" s="23"/>
      <c r="AI15" s="23"/>
      <c r="AJ15" s="23"/>
      <c r="AK15" s="23"/>
      <c r="AL15" s="18"/>
      <c r="AM15" s="18"/>
      <c r="AN15" s="18"/>
      <c r="AO15" s="18"/>
      <c r="AP15" s="18"/>
      <c r="AQ15" s="18"/>
      <c r="AR15" s="18"/>
      <c r="AS15" s="18"/>
      <c r="AT15" s="18"/>
      <c r="AU15" s="18"/>
      <c r="AV15" s="18"/>
      <c r="AW15" s="18"/>
      <c r="AX15" s="18"/>
      <c r="AY15" s="18"/>
    </row>
    <row r="16" spans="1:51" ht="26.25" customHeight="1" thickBot="1">
      <c r="A16" s="18"/>
      <c r="B16" s="124" t="s">
        <v>52</v>
      </c>
      <c r="C16" s="892" t="s">
        <v>53</v>
      </c>
      <c r="D16" s="892"/>
      <c r="E16" s="892"/>
      <c r="F16" s="892"/>
      <c r="G16" s="892"/>
      <c r="H16" s="892"/>
      <c r="I16" s="892"/>
      <c r="J16" s="892"/>
      <c r="K16" s="892"/>
      <c r="L16" s="892"/>
      <c r="M16" s="892"/>
      <c r="N16" s="892"/>
      <c r="O16" s="892"/>
      <c r="P16" s="892"/>
      <c r="Q16" s="912">
        <f>SUM('別紙様式2-2（個票（４、５月））'!L5:N5,'別紙様式2-3（個票（６月以降））'!K6)</f>
        <v>37754478</v>
      </c>
      <c r="R16" s="913"/>
      <c r="S16" s="913"/>
      <c r="T16" s="913"/>
      <c r="U16" s="913"/>
      <c r="V16" s="914"/>
      <c r="W16" s="126" t="s">
        <v>54</v>
      </c>
      <c r="X16" s="18"/>
      <c r="Y16" s="18"/>
      <c r="Z16" s="23"/>
      <c r="AA16" s="23"/>
      <c r="AB16" s="23"/>
      <c r="AC16" s="23"/>
      <c r="AD16" s="18"/>
      <c r="AE16" s="18"/>
      <c r="AF16" s="18"/>
      <c r="AG16" s="18"/>
      <c r="AH16" s="18"/>
      <c r="AI16" s="18"/>
      <c r="AJ16" s="18"/>
      <c r="AK16" s="18"/>
      <c r="AL16" s="18"/>
      <c r="AM16" s="18"/>
      <c r="AN16" s="18"/>
      <c r="AO16" s="18"/>
      <c r="AP16" s="18"/>
      <c r="AQ16" s="18"/>
      <c r="AR16" s="18"/>
      <c r="AS16" s="18"/>
      <c r="AT16" s="18"/>
      <c r="AU16" s="18"/>
      <c r="AV16" s="18"/>
      <c r="AW16" s="18"/>
      <c r="AX16" s="18"/>
      <c r="AY16" s="18"/>
    </row>
    <row r="17" spans="1:51" ht="26.25" customHeight="1" thickBot="1">
      <c r="A17" s="18"/>
      <c r="B17" s="389"/>
      <c r="C17" s="733" t="s">
        <v>2461</v>
      </c>
      <c r="D17" s="783"/>
      <c r="E17" s="783"/>
      <c r="F17" s="783"/>
      <c r="G17" s="783"/>
      <c r="H17" s="783"/>
      <c r="I17" s="783"/>
      <c r="J17" s="783"/>
      <c r="K17" s="783"/>
      <c r="L17" s="783"/>
      <c r="M17" s="783"/>
      <c r="N17" s="783"/>
      <c r="O17" s="783"/>
      <c r="P17" s="783"/>
      <c r="Q17" s="912">
        <f>SUM('別紙様式2-2（個票（４、５月））'!L7:N7,'別紙様式2-3（個票（６月以降））'!K8:O8)</f>
        <v>9174220</v>
      </c>
      <c r="R17" s="915"/>
      <c r="S17" s="915"/>
      <c r="T17" s="915"/>
      <c r="U17" s="915"/>
      <c r="V17" s="916"/>
      <c r="W17" s="126"/>
      <c r="X17" s="18"/>
      <c r="Y17" s="18"/>
      <c r="Z17" s="23"/>
      <c r="AA17" s="23"/>
      <c r="AB17" s="23"/>
      <c r="AC17" s="23"/>
      <c r="AD17" s="18"/>
      <c r="AE17" s="18"/>
      <c r="AF17" s="18"/>
      <c r="AG17" s="18"/>
      <c r="AH17" s="18"/>
      <c r="AI17" s="18"/>
      <c r="AJ17" s="18"/>
      <c r="AK17" s="18"/>
      <c r="AL17" s="18"/>
      <c r="AM17" s="18"/>
      <c r="AN17" s="18"/>
      <c r="AO17" s="18"/>
      <c r="AP17" s="18"/>
      <c r="AQ17" s="18"/>
      <c r="AR17" s="18"/>
      <c r="AS17" s="18"/>
      <c r="AT17" s="18"/>
      <c r="AU17" s="18"/>
      <c r="AV17" s="18"/>
      <c r="AW17" s="18"/>
      <c r="AX17" s="18"/>
      <c r="AY17" s="18"/>
    </row>
    <row r="18" spans="1:51" ht="38.450000000000003" customHeight="1" thickBot="1">
      <c r="A18" s="18"/>
      <c r="B18" s="127" t="s">
        <v>55</v>
      </c>
      <c r="C18" s="917" t="s">
        <v>2236</v>
      </c>
      <c r="D18" s="917"/>
      <c r="E18" s="917"/>
      <c r="F18" s="917"/>
      <c r="G18" s="917"/>
      <c r="H18" s="917"/>
      <c r="I18" s="917"/>
      <c r="J18" s="917"/>
      <c r="K18" s="917"/>
      <c r="L18" s="917"/>
      <c r="M18" s="917"/>
      <c r="N18" s="917"/>
      <c r="O18" s="917"/>
      <c r="P18" s="917"/>
      <c r="Q18" s="918">
        <v>1000000000</v>
      </c>
      <c r="R18" s="918"/>
      <c r="S18" s="918"/>
      <c r="T18" s="918"/>
      <c r="U18" s="918"/>
      <c r="V18" s="918"/>
      <c r="W18" s="129" t="s">
        <v>54</v>
      </c>
      <c r="X18" s="23" t="s">
        <v>56</v>
      </c>
      <c r="Y18" s="537" t="str">
        <f>IF(H6="","",IF(Q18&gt;=Q16,"○","×"))</f>
        <v>○</v>
      </c>
      <c r="Z18" s="23"/>
      <c r="AA18" s="130"/>
      <c r="AB18" s="18"/>
      <c r="AC18" s="18"/>
      <c r="AD18" s="18"/>
      <c r="AE18" s="18"/>
      <c r="AF18" s="18"/>
      <c r="AG18" s="18"/>
      <c r="AH18" s="18"/>
      <c r="AI18" s="18"/>
      <c r="AJ18" s="18"/>
      <c r="AK18" s="18"/>
      <c r="AL18" s="18"/>
      <c r="AM18" s="18"/>
      <c r="AN18" s="18"/>
      <c r="AO18" s="18"/>
      <c r="AP18" s="18"/>
      <c r="AQ18" s="18"/>
      <c r="AR18" s="18"/>
      <c r="AS18" s="18"/>
      <c r="AT18" s="18"/>
      <c r="AU18" s="18"/>
      <c r="AV18" s="18"/>
      <c r="AW18" s="18"/>
      <c r="AX18" s="18"/>
      <c r="AY18" s="18"/>
    </row>
    <row r="19" spans="1:51" ht="6" customHeight="1">
      <c r="A19" s="23"/>
      <c r="B19" s="18"/>
      <c r="C19" s="18"/>
      <c r="D19" s="18"/>
      <c r="E19" s="18"/>
      <c r="F19" s="18"/>
      <c r="G19" s="18"/>
      <c r="H19" s="18"/>
      <c r="I19" s="18"/>
      <c r="J19" s="18"/>
      <c r="K19" s="18"/>
      <c r="L19" s="18"/>
      <c r="M19" s="18"/>
      <c r="N19" s="18"/>
      <c r="O19" s="18"/>
      <c r="P19" s="18"/>
      <c r="Q19" s="18"/>
      <c r="R19" s="18"/>
      <c r="S19" s="18"/>
      <c r="T19" s="18"/>
      <c r="U19" s="18"/>
      <c r="V19" s="18"/>
      <c r="W19" s="18"/>
      <c r="X19" s="18"/>
      <c r="Y19" s="18"/>
      <c r="Z19" s="18"/>
      <c r="AA19" s="18"/>
      <c r="AB19" s="18"/>
      <c r="AC19" s="18"/>
      <c r="AD19" s="18"/>
      <c r="AE19" s="18"/>
      <c r="AF19" s="18"/>
      <c r="AG19" s="18"/>
      <c r="AH19" s="18"/>
      <c r="AI19" s="18"/>
      <c r="AJ19" s="18"/>
      <c r="AK19" s="18"/>
      <c r="AL19" s="18"/>
      <c r="AM19" s="18"/>
      <c r="AN19" s="18"/>
      <c r="AO19" s="18"/>
      <c r="AP19" s="18"/>
      <c r="AQ19" s="18"/>
      <c r="AR19" s="18"/>
      <c r="AS19" s="18"/>
      <c r="AT19" s="18"/>
      <c r="AU19" s="131"/>
      <c r="AV19" s="132"/>
      <c r="AW19" s="18"/>
      <c r="AX19" s="18"/>
      <c r="AY19" s="18"/>
    </row>
    <row r="20" spans="1:51" ht="24.95" customHeight="1" thickBot="1">
      <c r="A20" s="23"/>
      <c r="B20" s="896" t="s">
        <v>2237</v>
      </c>
      <c r="C20" s="897"/>
      <c r="D20" s="897"/>
      <c r="E20" s="897"/>
      <c r="F20" s="897"/>
      <c r="G20" s="897"/>
      <c r="H20" s="897"/>
      <c r="I20" s="897"/>
      <c r="J20" s="897"/>
      <c r="K20" s="897"/>
      <c r="L20" s="897"/>
      <c r="M20" s="897"/>
      <c r="N20" s="897"/>
      <c r="O20" s="897"/>
      <c r="P20" s="897"/>
      <c r="Q20" s="898"/>
      <c r="R20" s="898"/>
      <c r="S20" s="898"/>
      <c r="T20" s="898"/>
      <c r="U20" s="898"/>
      <c r="V20" s="898"/>
      <c r="W20" s="899"/>
      <c r="X20" s="23"/>
      <c r="Y20" s="23"/>
      <c r="Z20" s="23"/>
      <c r="AA20" s="23"/>
      <c r="AB20" s="18"/>
      <c r="AC20" s="18"/>
      <c r="AD20" s="18"/>
      <c r="AE20" s="18"/>
      <c r="AF20" s="18"/>
      <c r="AG20" s="18"/>
      <c r="AH20" s="18"/>
      <c r="AI20" s="18"/>
      <c r="AJ20" s="18"/>
      <c r="AK20" s="18"/>
      <c r="AL20" s="18"/>
      <c r="AM20" s="18"/>
      <c r="AN20" s="18"/>
      <c r="AO20" s="18"/>
      <c r="AP20" s="18"/>
      <c r="AQ20" s="18"/>
      <c r="AR20" s="18"/>
      <c r="AS20" s="18"/>
      <c r="AT20" s="18"/>
      <c r="AU20" s="131"/>
      <c r="AV20" s="132"/>
      <c r="AW20" s="18"/>
      <c r="AX20" s="18"/>
      <c r="AY20" s="18"/>
    </row>
    <row r="21" spans="1:51" ht="24.95" customHeight="1" thickBot="1">
      <c r="A21" s="23"/>
      <c r="B21" s="127" t="s">
        <v>2238</v>
      </c>
      <c r="C21" s="783" t="s">
        <v>2239</v>
      </c>
      <c r="D21" s="783"/>
      <c r="E21" s="783"/>
      <c r="F21" s="783"/>
      <c r="G21" s="783"/>
      <c r="H21" s="783"/>
      <c r="I21" s="783"/>
      <c r="J21" s="783"/>
      <c r="K21" s="783"/>
      <c r="L21" s="783"/>
      <c r="M21" s="783"/>
      <c r="N21" s="783"/>
      <c r="O21" s="783"/>
      <c r="P21" s="731"/>
      <c r="Q21" s="900">
        <f>Q17</f>
        <v>9174220</v>
      </c>
      <c r="R21" s="901"/>
      <c r="S21" s="901"/>
      <c r="T21" s="901"/>
      <c r="U21" s="901"/>
      <c r="V21" s="902"/>
      <c r="W21" s="125" t="s">
        <v>54</v>
      </c>
      <c r="X21" s="23" t="s">
        <v>56</v>
      </c>
      <c r="Y21" s="903" t="str">
        <f>IFERROR(IF(Q21&lt;=0,"",IF(Q22&gt;=Q21,"○","×")),"")</f>
        <v>×</v>
      </c>
      <c r="Z21" s="23" t="s">
        <v>56</v>
      </c>
      <c r="AA21" s="894" t="str">
        <f>IFERROR(IF(Y21="×",IF(Q24&gt;=Q21,"○","×"),""),"")</f>
        <v>○</v>
      </c>
      <c r="AB21" s="18"/>
      <c r="AC21" s="18"/>
      <c r="AD21" s="18"/>
      <c r="AE21" s="18"/>
      <c r="AF21" s="18"/>
      <c r="AG21" s="18"/>
      <c r="AH21" s="18"/>
      <c r="AI21" s="18"/>
      <c r="AJ21" s="18"/>
      <c r="AK21" s="18"/>
      <c r="AL21" s="18"/>
      <c r="AM21" s="18"/>
      <c r="AN21" s="18"/>
      <c r="AO21" s="18"/>
      <c r="AP21" s="18"/>
      <c r="AQ21" s="18"/>
      <c r="AR21" s="18"/>
      <c r="AS21" s="18"/>
      <c r="AT21" s="18"/>
      <c r="AU21" s="131"/>
      <c r="AV21" s="132"/>
      <c r="AW21" s="18"/>
      <c r="AX21" s="18"/>
      <c r="AY21" s="18"/>
    </row>
    <row r="22" spans="1:51" ht="32.25" customHeight="1" thickBot="1">
      <c r="A22" s="23"/>
      <c r="B22" s="127" t="s">
        <v>2240</v>
      </c>
      <c r="C22" s="783" t="s">
        <v>2241</v>
      </c>
      <c r="D22" s="783"/>
      <c r="E22" s="783"/>
      <c r="F22" s="783"/>
      <c r="G22" s="783"/>
      <c r="H22" s="783"/>
      <c r="I22" s="783"/>
      <c r="J22" s="783"/>
      <c r="K22" s="783"/>
      <c r="L22" s="783"/>
      <c r="M22" s="783"/>
      <c r="N22" s="783"/>
      <c r="O22" s="783"/>
      <c r="P22" s="731"/>
      <c r="Q22" s="907">
        <v>9116610</v>
      </c>
      <c r="R22" s="908"/>
      <c r="S22" s="908"/>
      <c r="T22" s="908"/>
      <c r="U22" s="908"/>
      <c r="V22" s="909"/>
      <c r="W22" s="125" t="s">
        <v>54</v>
      </c>
      <c r="X22" s="23" t="s">
        <v>56</v>
      </c>
      <c r="Y22" s="904"/>
      <c r="Z22" s="23"/>
      <c r="AA22" s="905"/>
      <c r="AB22" s="18"/>
      <c r="AC22" s="18"/>
      <c r="AD22" s="18"/>
      <c r="AE22" s="18"/>
      <c r="AF22" s="18"/>
      <c r="AG22" s="18"/>
      <c r="AH22" s="18"/>
      <c r="AI22" s="18"/>
      <c r="AJ22" s="18"/>
      <c r="AK22" s="18"/>
      <c r="AL22" s="18"/>
      <c r="AM22" s="18"/>
      <c r="AN22" s="18"/>
      <c r="AO22" s="18"/>
      <c r="AP22" s="18"/>
      <c r="AQ22" s="18"/>
      <c r="AR22" s="18"/>
      <c r="AS22" s="18"/>
      <c r="AT22" s="18"/>
      <c r="AU22" s="131"/>
      <c r="AV22" s="132"/>
      <c r="AW22" s="18"/>
      <c r="AX22" s="18"/>
      <c r="AY22" s="18"/>
    </row>
    <row r="23" spans="1:51" ht="24.95" customHeight="1" thickBot="1">
      <c r="A23" s="23"/>
      <c r="B23" s="127" t="s">
        <v>2242</v>
      </c>
      <c r="C23" s="783" t="s">
        <v>2243</v>
      </c>
      <c r="D23" s="783"/>
      <c r="E23" s="783"/>
      <c r="F23" s="783"/>
      <c r="G23" s="783"/>
      <c r="H23" s="783"/>
      <c r="I23" s="783"/>
      <c r="J23" s="783"/>
      <c r="K23" s="783"/>
      <c r="L23" s="783"/>
      <c r="M23" s="783"/>
      <c r="N23" s="783"/>
      <c r="O23" s="783"/>
      <c r="P23" s="731"/>
      <c r="Q23" s="907">
        <v>500000</v>
      </c>
      <c r="R23" s="908"/>
      <c r="S23" s="908"/>
      <c r="T23" s="908"/>
      <c r="U23" s="908"/>
      <c r="V23" s="909"/>
      <c r="W23" s="125" t="s">
        <v>54</v>
      </c>
      <c r="X23" s="23"/>
      <c r="Y23" s="23"/>
      <c r="Z23" s="23"/>
      <c r="AA23" s="905"/>
      <c r="AB23" s="18"/>
      <c r="AC23" s="18"/>
      <c r="AD23" s="18"/>
      <c r="AE23" s="18"/>
      <c r="AF23" s="18"/>
      <c r="AG23" s="18"/>
      <c r="AH23" s="18"/>
      <c r="AI23" s="18"/>
      <c r="AJ23" s="18"/>
      <c r="AK23" s="18"/>
      <c r="AL23" s="18"/>
      <c r="AM23" s="18"/>
      <c r="AN23" s="18"/>
      <c r="AO23" s="18"/>
      <c r="AP23" s="18"/>
      <c r="AQ23" s="18"/>
      <c r="AR23" s="18"/>
      <c r="AS23" s="18"/>
      <c r="AT23" s="18"/>
      <c r="AU23" s="131"/>
      <c r="AV23" s="132"/>
      <c r="AW23" s="18"/>
      <c r="AX23" s="18"/>
      <c r="AY23" s="18"/>
    </row>
    <row r="24" spans="1:51" ht="24.95" customHeight="1" thickBot="1">
      <c r="A24" s="23"/>
      <c r="B24" s="127" t="s">
        <v>2244</v>
      </c>
      <c r="C24" s="783" t="s">
        <v>2245</v>
      </c>
      <c r="D24" s="783"/>
      <c r="E24" s="783"/>
      <c r="F24" s="783"/>
      <c r="G24" s="783"/>
      <c r="H24" s="783"/>
      <c r="I24" s="783"/>
      <c r="J24" s="783"/>
      <c r="K24" s="783"/>
      <c r="L24" s="783"/>
      <c r="M24" s="783"/>
      <c r="N24" s="783"/>
      <c r="O24" s="783"/>
      <c r="P24" s="731"/>
      <c r="Q24" s="886">
        <f>Q22+Q23</f>
        <v>9616610</v>
      </c>
      <c r="R24" s="887"/>
      <c r="S24" s="887"/>
      <c r="T24" s="887"/>
      <c r="U24" s="887"/>
      <c r="V24" s="888"/>
      <c r="W24" s="125" t="s">
        <v>54</v>
      </c>
      <c r="X24" s="18"/>
      <c r="Y24" s="18"/>
      <c r="Z24" s="18" t="s">
        <v>56</v>
      </c>
      <c r="AA24" s="906"/>
      <c r="AB24" s="18"/>
      <c r="AC24" s="18"/>
      <c r="AD24" s="18"/>
      <c r="AE24" s="18"/>
      <c r="AF24" s="18"/>
      <c r="AG24" s="18"/>
      <c r="AH24" s="18"/>
      <c r="AI24" s="18"/>
      <c r="AJ24" s="18"/>
      <c r="AK24" s="18"/>
      <c r="AL24" s="18"/>
      <c r="AM24" s="18"/>
      <c r="AN24" s="18"/>
      <c r="AO24" s="18"/>
      <c r="AP24" s="18"/>
      <c r="AQ24" s="18"/>
      <c r="AR24" s="18"/>
      <c r="AS24" s="18"/>
      <c r="AT24" s="18"/>
      <c r="AU24" s="131"/>
      <c r="AV24" s="132"/>
      <c r="AW24" s="18"/>
      <c r="AX24" s="18"/>
      <c r="AY24" s="18"/>
    </row>
    <row r="25" spans="1:51" ht="16.5" customHeight="1">
      <c r="A25" s="48"/>
      <c r="B25" s="133" t="s">
        <v>57</v>
      </c>
      <c r="C25" s="18"/>
      <c r="D25" s="18"/>
      <c r="E25" s="18"/>
      <c r="F25" s="18"/>
      <c r="G25" s="18"/>
      <c r="H25" s="18"/>
      <c r="I25" s="18"/>
      <c r="J25" s="18"/>
      <c r="K25" s="18"/>
      <c r="L25" s="18"/>
      <c r="M25" s="18"/>
      <c r="N25" s="18"/>
      <c r="O25" s="18"/>
      <c r="P25" s="18"/>
      <c r="Q25" s="18"/>
      <c r="R25" s="18"/>
      <c r="S25" s="18"/>
      <c r="T25" s="18"/>
      <c r="U25" s="18"/>
      <c r="V25" s="18"/>
      <c r="W25" s="18"/>
      <c r="X25" s="18"/>
      <c r="Y25" s="18"/>
      <c r="Z25" s="18"/>
      <c r="AA25" s="18"/>
      <c r="AB25" s="18"/>
      <c r="AC25" s="18"/>
      <c r="AD25" s="18"/>
      <c r="AE25" s="18"/>
      <c r="AF25" s="18"/>
      <c r="AG25" s="18"/>
      <c r="AH25" s="18"/>
      <c r="AI25" s="18"/>
      <c r="AJ25" s="18"/>
      <c r="AK25" s="18"/>
      <c r="AL25" s="18"/>
      <c r="AM25" s="18"/>
      <c r="AN25" s="18"/>
      <c r="AO25" s="18"/>
      <c r="AP25" s="18"/>
      <c r="AQ25" s="18"/>
      <c r="AR25" s="18"/>
      <c r="AS25" s="18"/>
      <c r="AT25" s="18"/>
      <c r="AU25" s="18"/>
      <c r="AV25" s="18"/>
      <c r="AW25" s="18"/>
      <c r="AX25" s="18"/>
      <c r="AY25" s="18"/>
    </row>
    <row r="26" spans="1:51" ht="25.15" customHeight="1">
      <c r="A26" s="18"/>
      <c r="B26" s="134" t="s">
        <v>58</v>
      </c>
      <c r="C26" s="889" t="s">
        <v>2246</v>
      </c>
      <c r="D26" s="889"/>
      <c r="E26" s="889"/>
      <c r="F26" s="889"/>
      <c r="G26" s="889"/>
      <c r="H26" s="889"/>
      <c r="I26" s="889"/>
      <c r="J26" s="889"/>
      <c r="K26" s="889"/>
      <c r="L26" s="889"/>
      <c r="M26" s="889"/>
      <c r="N26" s="889"/>
      <c r="O26" s="889"/>
      <c r="P26" s="889"/>
      <c r="Q26" s="889"/>
      <c r="R26" s="889"/>
      <c r="S26" s="889"/>
      <c r="T26" s="889"/>
      <c r="U26" s="889"/>
      <c r="V26" s="889"/>
      <c r="W26" s="889"/>
      <c r="X26" s="889"/>
      <c r="Y26" s="889"/>
      <c r="Z26" s="889"/>
      <c r="AA26" s="889"/>
      <c r="AB26" s="889"/>
      <c r="AC26" s="889"/>
      <c r="AD26" s="889"/>
      <c r="AE26" s="889"/>
      <c r="AF26" s="889"/>
      <c r="AG26" s="889"/>
      <c r="AH26" s="889"/>
      <c r="AI26" s="889"/>
      <c r="AJ26" s="889"/>
      <c r="AK26" s="889"/>
      <c r="AL26" s="18"/>
      <c r="AM26" s="18"/>
      <c r="AN26" s="18"/>
      <c r="AO26" s="18"/>
      <c r="AP26" s="18"/>
      <c r="AQ26" s="18"/>
      <c r="AR26" s="18"/>
      <c r="AS26" s="18"/>
      <c r="AT26" s="18"/>
      <c r="AU26" s="18"/>
      <c r="AV26" s="18"/>
      <c r="AW26" s="18"/>
      <c r="AX26" s="18"/>
      <c r="AY26" s="18"/>
    </row>
    <row r="27" spans="1:51" ht="6" customHeight="1">
      <c r="A27" s="18"/>
      <c r="B27" s="25"/>
      <c r="C27" s="25"/>
      <c r="D27" s="25"/>
      <c r="E27" s="25"/>
      <c r="F27" s="115"/>
      <c r="G27" s="30"/>
      <c r="H27" s="30"/>
      <c r="I27" s="30"/>
      <c r="J27" s="30"/>
      <c r="K27" s="30"/>
      <c r="L27" s="30"/>
      <c r="M27" s="135"/>
      <c r="N27" s="135"/>
      <c r="O27" s="135"/>
      <c r="P27" s="135"/>
      <c r="Q27" s="135"/>
      <c r="R27" s="135"/>
      <c r="S27" s="135"/>
      <c r="T27" s="135"/>
      <c r="U27" s="135"/>
      <c r="V27" s="135"/>
      <c r="W27" s="135"/>
      <c r="X27" s="135"/>
      <c r="Y27" s="135"/>
      <c r="Z27" s="135"/>
      <c r="AA27" s="135"/>
      <c r="AB27" s="135"/>
      <c r="AC27" s="135"/>
      <c r="AD27" s="135"/>
      <c r="AE27" s="135"/>
      <c r="AF27" s="135"/>
      <c r="AG27" s="135"/>
      <c r="AH27" s="135"/>
      <c r="AI27" s="135"/>
      <c r="AJ27" s="135"/>
      <c r="AK27" s="135"/>
      <c r="AL27" s="19"/>
      <c r="AM27" s="19"/>
      <c r="AN27" s="18"/>
      <c r="AO27" s="18"/>
      <c r="AP27" s="18"/>
      <c r="AQ27" s="18"/>
      <c r="AR27" s="18"/>
      <c r="AS27" s="18"/>
      <c r="AT27" s="18"/>
      <c r="AU27" s="18"/>
      <c r="AV27" s="18"/>
      <c r="AW27" s="136"/>
      <c r="AX27" s="18"/>
      <c r="AY27" s="18"/>
    </row>
    <row r="28" spans="1:51" ht="21" customHeight="1">
      <c r="A28" s="18"/>
      <c r="B28" s="890" t="s">
        <v>2235</v>
      </c>
      <c r="C28" s="890"/>
      <c r="D28" s="890"/>
      <c r="E28" s="890"/>
      <c r="F28" s="890"/>
      <c r="G28" s="890"/>
      <c r="H28" s="890"/>
      <c r="I28" s="890"/>
      <c r="J28" s="890"/>
      <c r="K28" s="890"/>
      <c r="L28" s="890"/>
      <c r="M28" s="890"/>
      <c r="N28" s="890"/>
      <c r="O28" s="890"/>
      <c r="P28" s="890"/>
      <c r="Q28" s="890"/>
      <c r="R28" s="890"/>
      <c r="S28" s="890"/>
      <c r="T28" s="890"/>
      <c r="U28" s="890"/>
      <c r="V28" s="890"/>
      <c r="W28" s="890"/>
      <c r="X28" s="890"/>
      <c r="Y28" s="890"/>
      <c r="Z28" s="890"/>
      <c r="AA28" s="890"/>
      <c r="AB28" s="890"/>
      <c r="AC28" s="890"/>
      <c r="AD28" s="890"/>
      <c r="AE28" s="890"/>
      <c r="AF28" s="890"/>
      <c r="AG28" s="890"/>
      <c r="AH28" s="890"/>
      <c r="AI28" s="890"/>
      <c r="AJ28" s="890"/>
      <c r="AK28" s="890"/>
      <c r="AL28" s="18"/>
      <c r="AM28" s="18"/>
      <c r="AN28" s="18"/>
      <c r="AO28" s="18"/>
      <c r="AP28" s="18"/>
      <c r="AQ28" s="18"/>
      <c r="AR28" s="18"/>
      <c r="AS28" s="18"/>
      <c r="AT28" s="18"/>
      <c r="AU28" s="18"/>
      <c r="AV28" s="18"/>
      <c r="AW28" s="18"/>
      <c r="AX28" s="18"/>
      <c r="AY28" s="18"/>
    </row>
    <row r="29" spans="1:51" ht="19.149999999999999" customHeight="1" thickBot="1">
      <c r="A29" s="18"/>
      <c r="B29" s="891" t="s">
        <v>59</v>
      </c>
      <c r="C29" s="891"/>
      <c r="D29" s="891"/>
      <c r="E29" s="891"/>
      <c r="F29" s="891"/>
      <c r="G29" s="891"/>
      <c r="H29" s="891"/>
      <c r="I29" s="891"/>
      <c r="J29" s="891"/>
      <c r="K29" s="891"/>
      <c r="L29" s="891"/>
      <c r="M29" s="891"/>
      <c r="N29" s="891"/>
      <c r="O29" s="891"/>
      <c r="P29" s="891"/>
      <c r="Q29" s="891"/>
      <c r="R29" s="891"/>
      <c r="S29" s="891"/>
      <c r="T29" s="891"/>
      <c r="U29" s="891"/>
      <c r="V29" s="891"/>
      <c r="W29" s="891"/>
      <c r="X29" s="891"/>
      <c r="Y29" s="891"/>
      <c r="Z29" s="891"/>
      <c r="AA29" s="891"/>
      <c r="AB29" s="891"/>
      <c r="AC29" s="891"/>
      <c r="AD29" s="891"/>
      <c r="AE29" s="891"/>
      <c r="AF29" s="891"/>
      <c r="AG29" s="891"/>
      <c r="AH29" s="891"/>
      <c r="AI29" s="891"/>
      <c r="AJ29" s="891"/>
      <c r="AK29" s="891"/>
      <c r="AL29" s="18"/>
      <c r="AM29" s="18"/>
      <c r="AN29" s="18"/>
      <c r="AO29" s="18"/>
      <c r="AP29" s="18"/>
      <c r="AQ29" s="18"/>
      <c r="AR29" s="18"/>
      <c r="AS29" s="136"/>
      <c r="AT29" s="18"/>
      <c r="AU29" s="18"/>
      <c r="AV29" s="18"/>
      <c r="AW29" s="18"/>
      <c r="AX29" s="18"/>
      <c r="AY29" s="18"/>
    </row>
    <row r="30" spans="1:51" ht="18" customHeight="1" thickBot="1">
      <c r="A30" s="18"/>
      <c r="B30" s="736" t="s">
        <v>60</v>
      </c>
      <c r="C30" s="736"/>
      <c r="D30" s="736"/>
      <c r="E30" s="736"/>
      <c r="F30" s="736"/>
      <c r="G30" s="736"/>
      <c r="H30" s="736"/>
      <c r="I30" s="736"/>
      <c r="J30" s="736"/>
      <c r="K30" s="736"/>
      <c r="L30" s="736"/>
      <c r="M30" s="736"/>
      <c r="N30" s="736"/>
      <c r="O30" s="736"/>
      <c r="P30" s="736"/>
      <c r="Q30" s="736"/>
      <c r="R30" s="736"/>
      <c r="S30" s="736"/>
      <c r="T30" s="736"/>
      <c r="U30" s="736"/>
      <c r="V30" s="736"/>
      <c r="W30" s="736"/>
      <c r="X30" s="736"/>
      <c r="Y30" s="736"/>
      <c r="Z30" s="736"/>
      <c r="AA30" s="137"/>
      <c r="AB30" s="137"/>
      <c r="AC30" s="137"/>
      <c r="AD30" s="137"/>
      <c r="AE30" s="137"/>
      <c r="AF30" s="137"/>
      <c r="AG30" s="137"/>
      <c r="AH30" s="137"/>
      <c r="AI30" s="137"/>
      <c r="AJ30" s="138"/>
      <c r="AK30" s="139" t="str" cm="1">
        <f t="array" ref="AK30">IF(H6="", "", IF(AND('別紙様式2-2（個票（４、５月））'!AE10:AE10="○",'別紙様式2-3（個票（６月以降））'!AE10:AE10="○"), "○", "×"))</f>
        <v>○</v>
      </c>
      <c r="AL30" s="136"/>
      <c r="AM30" s="18"/>
      <c r="AN30" s="18"/>
      <c r="AO30" s="18"/>
      <c r="AP30" s="18"/>
      <c r="AQ30" s="18"/>
      <c r="AR30" s="136"/>
      <c r="AS30" s="18"/>
      <c r="AT30" s="18"/>
      <c r="AU30" s="18"/>
      <c r="AV30" s="18"/>
      <c r="AW30" s="18"/>
      <c r="AX30" s="18"/>
    </row>
    <row r="31" spans="1:51" ht="18" customHeight="1" thickBot="1">
      <c r="A31" s="18"/>
      <c r="B31" s="140" t="s">
        <v>52</v>
      </c>
      <c r="C31" s="892" t="s">
        <v>61</v>
      </c>
      <c r="D31" s="892"/>
      <c r="E31" s="892"/>
      <c r="F31" s="892"/>
      <c r="G31" s="892"/>
      <c r="H31" s="892"/>
      <c r="I31" s="892"/>
      <c r="J31" s="892"/>
      <c r="K31" s="892"/>
      <c r="L31" s="892"/>
      <c r="M31" s="892"/>
      <c r="N31" s="892"/>
      <c r="O31" s="892"/>
      <c r="P31" s="892"/>
      <c r="Q31" s="892"/>
      <c r="R31" s="892"/>
      <c r="S31" s="892"/>
      <c r="T31" s="893">
        <f>SUM('別紙様式2-2（個票（４、５月））'!L6:N6,'別紙様式2-3（個票（６月以降））'!K7)</f>
        <v>14994443</v>
      </c>
      <c r="U31" s="893"/>
      <c r="V31" s="893"/>
      <c r="W31" s="893"/>
      <c r="X31" s="893"/>
      <c r="Y31" s="893"/>
      <c r="Z31" s="128" t="s">
        <v>54</v>
      </c>
      <c r="AA31" s="29" t="s">
        <v>56</v>
      </c>
      <c r="AB31" s="894" t="str">
        <f>IF(H6="", "", IFERROR(IF(T32&gt;=T31,"○","×"),""))</f>
        <v>○</v>
      </c>
      <c r="AC31" s="141"/>
      <c r="AD31" s="142"/>
      <c r="AE31" s="142"/>
      <c r="AF31" s="142"/>
      <c r="AG31" s="142"/>
      <c r="AH31" s="142"/>
      <c r="AI31" s="142"/>
      <c r="AJ31" s="142"/>
      <c r="AK31" s="142"/>
      <c r="AL31" s="18"/>
      <c r="AM31" s="816" t="s">
        <v>62</v>
      </c>
      <c r="AN31" s="817"/>
      <c r="AO31" s="817"/>
      <c r="AP31" s="817"/>
      <c r="AQ31" s="817"/>
      <c r="AR31" s="817"/>
      <c r="AS31" s="817"/>
      <c r="AT31" s="817"/>
      <c r="AU31" s="817"/>
      <c r="AV31" s="817"/>
      <c r="AW31" s="817"/>
      <c r="AX31" s="817"/>
      <c r="AY31" s="818"/>
    </row>
    <row r="32" spans="1:51" ht="28.5" customHeight="1" thickBot="1">
      <c r="A32" s="18"/>
      <c r="B32" s="140" t="s">
        <v>55</v>
      </c>
      <c r="C32" s="783" t="s">
        <v>63</v>
      </c>
      <c r="D32" s="783"/>
      <c r="E32" s="783"/>
      <c r="F32" s="783"/>
      <c r="G32" s="783"/>
      <c r="H32" s="783"/>
      <c r="I32" s="783"/>
      <c r="J32" s="783"/>
      <c r="K32" s="783"/>
      <c r="L32" s="783"/>
      <c r="M32" s="783"/>
      <c r="N32" s="783"/>
      <c r="O32" s="783"/>
      <c r="P32" s="783"/>
      <c r="Q32" s="783"/>
      <c r="R32" s="783"/>
      <c r="S32" s="783"/>
      <c r="T32" s="882">
        <v>100000000</v>
      </c>
      <c r="U32" s="882"/>
      <c r="V32" s="882"/>
      <c r="W32" s="882"/>
      <c r="X32" s="882"/>
      <c r="Y32" s="883"/>
      <c r="Z32" s="126" t="s">
        <v>54</v>
      </c>
      <c r="AA32" s="29" t="s">
        <v>56</v>
      </c>
      <c r="AB32" s="895"/>
      <c r="AC32" s="141"/>
      <c r="AD32" s="142"/>
      <c r="AE32" s="142"/>
      <c r="AF32" s="142"/>
      <c r="AG32" s="142"/>
      <c r="AH32" s="142"/>
      <c r="AI32" s="142"/>
      <c r="AJ32" s="142"/>
      <c r="AK32" s="142"/>
      <c r="AL32" s="18"/>
      <c r="AM32" s="819"/>
      <c r="AN32" s="820"/>
      <c r="AO32" s="820"/>
      <c r="AP32" s="820"/>
      <c r="AQ32" s="820"/>
      <c r="AR32" s="820"/>
      <c r="AS32" s="820"/>
      <c r="AT32" s="820"/>
      <c r="AU32" s="820"/>
      <c r="AV32" s="820"/>
      <c r="AW32" s="820"/>
      <c r="AX32" s="820"/>
      <c r="AY32" s="821"/>
    </row>
    <row r="33" spans="1:66" ht="3.75" customHeight="1">
      <c r="A33" s="18"/>
      <c r="B33" s="133"/>
      <c r="C33" s="143"/>
      <c r="D33" s="144"/>
      <c r="E33" s="144"/>
      <c r="F33" s="144"/>
      <c r="G33" s="144"/>
      <c r="H33" s="144"/>
      <c r="I33" s="144"/>
      <c r="J33" s="144"/>
      <c r="K33" s="144"/>
      <c r="L33" s="144"/>
      <c r="M33" s="144"/>
      <c r="N33" s="144"/>
      <c r="O33" s="144"/>
      <c r="P33" s="144"/>
      <c r="Q33" s="144"/>
      <c r="R33" s="144"/>
      <c r="S33" s="144"/>
      <c r="T33" s="144"/>
      <c r="U33" s="144"/>
      <c r="V33" s="144"/>
      <c r="W33" s="144"/>
      <c r="X33" s="144"/>
      <c r="Y33" s="144"/>
      <c r="Z33" s="144"/>
      <c r="AA33" s="144"/>
      <c r="AB33" s="144"/>
      <c r="AC33" s="144"/>
      <c r="AD33" s="144"/>
      <c r="AE33" s="144"/>
      <c r="AF33" s="144"/>
      <c r="AG33" s="144"/>
      <c r="AH33" s="144"/>
      <c r="AI33" s="144"/>
      <c r="AJ33" s="144"/>
      <c r="AK33" s="144"/>
      <c r="AL33" s="144"/>
      <c r="AM33" s="145"/>
      <c r="AN33" s="145"/>
      <c r="AO33" s="145"/>
      <c r="AP33" s="145"/>
      <c r="AQ33" s="18"/>
      <c r="AR33" s="18"/>
      <c r="AS33" s="18"/>
      <c r="AT33" s="18"/>
      <c r="AU33" s="18"/>
      <c r="AV33" s="18"/>
      <c r="AW33" s="18"/>
      <c r="AX33" s="136"/>
      <c r="AY33" s="18"/>
    </row>
    <row r="34" spans="1:66">
      <c r="A34" s="18"/>
      <c r="B34" s="133" t="s">
        <v>57</v>
      </c>
      <c r="C34" s="23"/>
      <c r="D34" s="23"/>
      <c r="E34" s="23"/>
      <c r="F34" s="23"/>
      <c r="G34" s="23"/>
      <c r="H34" s="23"/>
      <c r="I34" s="23"/>
      <c r="J34" s="23"/>
      <c r="K34" s="23"/>
      <c r="L34" s="23"/>
      <c r="M34" s="23"/>
      <c r="N34" s="23"/>
      <c r="O34" s="23"/>
      <c r="P34" s="23"/>
      <c r="Q34" s="23"/>
      <c r="R34" s="23"/>
      <c r="S34" s="23"/>
      <c r="T34" s="23"/>
      <c r="U34" s="23"/>
      <c r="V34" s="23"/>
      <c r="W34" s="23"/>
      <c r="X34" s="23"/>
      <c r="Y34" s="23"/>
      <c r="Z34" s="23"/>
      <c r="AA34" s="23"/>
      <c r="AB34" s="23"/>
      <c r="AC34" s="23"/>
      <c r="AD34" s="23"/>
      <c r="AE34" s="23"/>
      <c r="AF34" s="23"/>
      <c r="AG34" s="23"/>
      <c r="AH34" s="23"/>
      <c r="AI34" s="23"/>
      <c r="AJ34" s="23"/>
      <c r="AK34" s="23"/>
      <c r="AL34" s="544"/>
      <c r="AM34" s="145"/>
      <c r="AN34" s="145"/>
      <c r="AO34" s="145"/>
      <c r="AP34" s="145"/>
      <c r="AQ34" s="18"/>
      <c r="AR34" s="18"/>
      <c r="AS34" s="18"/>
      <c r="AT34" s="18"/>
      <c r="AU34" s="18"/>
      <c r="AV34" s="18"/>
      <c r="AW34" s="18"/>
      <c r="AX34" s="136"/>
      <c r="AY34" s="18"/>
    </row>
    <row r="35" spans="1:66" ht="13.9" customHeight="1">
      <c r="A35" s="18"/>
      <c r="B35" s="134" t="s">
        <v>58</v>
      </c>
      <c r="C35" s="884" t="s">
        <v>64</v>
      </c>
      <c r="D35" s="884"/>
      <c r="E35" s="884"/>
      <c r="F35" s="884"/>
      <c r="G35" s="884"/>
      <c r="H35" s="884"/>
      <c r="I35" s="884"/>
      <c r="J35" s="884"/>
      <c r="K35" s="884"/>
      <c r="L35" s="884"/>
      <c r="M35" s="884"/>
      <c r="N35" s="884"/>
      <c r="O35" s="884"/>
      <c r="P35" s="884"/>
      <c r="Q35" s="884"/>
      <c r="R35" s="884"/>
      <c r="S35" s="884"/>
      <c r="T35" s="884"/>
      <c r="U35" s="884"/>
      <c r="V35" s="884"/>
      <c r="W35" s="884"/>
      <c r="X35" s="884"/>
      <c r="Y35" s="884"/>
      <c r="Z35" s="884"/>
      <c r="AA35" s="884"/>
      <c r="AB35" s="884"/>
      <c r="AC35" s="884"/>
      <c r="AD35" s="884"/>
      <c r="AE35" s="884"/>
      <c r="AF35" s="884"/>
      <c r="AG35" s="884"/>
      <c r="AH35" s="884"/>
      <c r="AI35" s="884"/>
      <c r="AJ35" s="884"/>
      <c r="AK35" s="884"/>
      <c r="AL35" s="544"/>
      <c r="AM35" s="145"/>
      <c r="AN35" s="145"/>
      <c r="AO35" s="145"/>
      <c r="AP35" s="145"/>
      <c r="AQ35" s="18"/>
      <c r="AR35" s="18"/>
      <c r="AS35" s="18"/>
      <c r="AT35" s="18"/>
      <c r="AU35" s="18"/>
      <c r="AV35" s="18"/>
      <c r="AW35" s="18"/>
      <c r="AX35" s="136"/>
      <c r="AY35" s="18"/>
    </row>
    <row r="36" spans="1:66" ht="12.6" customHeight="1">
      <c r="A36" s="18"/>
      <c r="B36" s="18"/>
      <c r="C36" s="18"/>
      <c r="D36" s="18"/>
      <c r="E36" s="18"/>
      <c r="F36" s="18"/>
      <c r="G36" s="18"/>
      <c r="H36" s="18"/>
      <c r="I36" s="18"/>
      <c r="J36" s="18"/>
      <c r="K36" s="18"/>
      <c r="L36" s="18"/>
      <c r="M36" s="18"/>
      <c r="N36" s="18"/>
      <c r="O36" s="18"/>
      <c r="P36" s="18"/>
      <c r="Q36" s="18"/>
      <c r="R36" s="18"/>
      <c r="S36" s="18"/>
      <c r="T36" s="18"/>
      <c r="U36" s="18"/>
      <c r="V36" s="18"/>
      <c r="W36" s="18"/>
      <c r="X36" s="18"/>
      <c r="Y36" s="18"/>
      <c r="Z36" s="18"/>
      <c r="AA36" s="18"/>
      <c r="AB36" s="18"/>
      <c r="AC36" s="18"/>
      <c r="AD36" s="18"/>
      <c r="AE36" s="18"/>
      <c r="AF36" s="18"/>
      <c r="AG36" s="18"/>
      <c r="AH36" s="18"/>
      <c r="AI36" s="18"/>
      <c r="AJ36" s="115"/>
      <c r="AK36" s="115"/>
      <c r="AL36" s="115"/>
      <c r="AM36" s="18"/>
      <c r="AN36" s="18"/>
      <c r="AO36" s="18"/>
      <c r="AP36" s="18"/>
      <c r="AQ36" s="18"/>
      <c r="AR36" s="18"/>
      <c r="AS36" s="18"/>
      <c r="AT36" s="18"/>
      <c r="AU36" s="18"/>
      <c r="AV36" s="18"/>
      <c r="AW36" s="18"/>
      <c r="AX36" s="18"/>
      <c r="AY36" s="18"/>
      <c r="BA36" s="27" t="s">
        <v>2201</v>
      </c>
      <c r="BB36" s="27"/>
      <c r="BC36" s="27"/>
      <c r="BD36" s="27"/>
      <c r="BE36" s="27" t="s">
        <v>2202</v>
      </c>
      <c r="BF36" s="27"/>
      <c r="BG36" s="27"/>
      <c r="BH36" s="27"/>
      <c r="BI36" s="27" t="s">
        <v>2501</v>
      </c>
      <c r="BJ36" s="27"/>
      <c r="BK36" s="27"/>
      <c r="BL36" s="27"/>
      <c r="BM36" s="27"/>
      <c r="BN36" s="27"/>
    </row>
    <row r="37" spans="1:66" s="24" customFormat="1" ht="23.45" customHeight="1" thickBot="1">
      <c r="A37" s="57"/>
      <c r="B37" s="652" t="s">
        <v>65</v>
      </c>
      <c r="C37" s="652"/>
      <c r="D37" s="652"/>
      <c r="E37" s="652"/>
      <c r="F37" s="652"/>
      <c r="G37" s="652"/>
      <c r="H37" s="652"/>
      <c r="I37" s="652"/>
      <c r="J37" s="652"/>
      <c r="K37" s="652"/>
      <c r="L37" s="652"/>
      <c r="M37" s="652"/>
      <c r="N37" s="652"/>
      <c r="O37" s="652"/>
      <c r="P37" s="652"/>
      <c r="Q37" s="652"/>
      <c r="R37" s="652"/>
      <c r="S37" s="652"/>
      <c r="T37" s="652"/>
      <c r="U37" s="652"/>
      <c r="V37" s="652"/>
      <c r="W37" s="652"/>
      <c r="X37" s="652"/>
      <c r="Y37" s="652"/>
      <c r="Z37" s="652"/>
      <c r="AA37" s="652"/>
      <c r="AB37" s="652"/>
      <c r="AC37" s="652"/>
      <c r="AD37" s="652"/>
      <c r="AE37" s="652"/>
      <c r="AF37" s="652"/>
      <c r="AG37" s="652"/>
      <c r="AH37" s="652"/>
      <c r="AI37" s="652"/>
      <c r="AJ37" s="652"/>
      <c r="AK37" s="652"/>
      <c r="AL37" s="57"/>
      <c r="AM37" s="542"/>
      <c r="AN37" s="542"/>
      <c r="AO37" s="542"/>
      <c r="AP37" s="542"/>
      <c r="AQ37" s="542"/>
      <c r="AR37" s="542"/>
      <c r="AS37" s="542"/>
      <c r="AT37" s="542"/>
      <c r="AU37" s="542"/>
      <c r="AV37" s="542"/>
      <c r="AW37" s="542"/>
      <c r="AX37" s="542"/>
      <c r="AY37" s="542"/>
      <c r="BA37" s="885" t="s">
        <v>66</v>
      </c>
      <c r="BB37" s="885"/>
      <c r="BC37" s="885"/>
      <c r="BD37" s="885"/>
      <c r="BE37" s="885" t="s">
        <v>66</v>
      </c>
      <c r="BF37" s="885"/>
      <c r="BG37" s="885"/>
      <c r="BH37" s="885"/>
      <c r="BI37" s="942" t="s">
        <v>2502</v>
      </c>
      <c r="BJ37" s="943"/>
      <c r="BK37" s="943"/>
      <c r="BL37" s="943"/>
      <c r="BM37" s="943"/>
      <c r="BN37" s="944"/>
    </row>
    <row r="38" spans="1:66" s="13" customFormat="1" ht="18" customHeight="1" thickBot="1">
      <c r="A38" s="19"/>
      <c r="B38" s="736" t="s">
        <v>2203</v>
      </c>
      <c r="C38" s="736"/>
      <c r="D38" s="736"/>
      <c r="E38" s="736"/>
      <c r="F38" s="736"/>
      <c r="G38" s="736"/>
      <c r="H38" s="736"/>
      <c r="I38" s="736"/>
      <c r="J38" s="736"/>
      <c r="K38" s="736"/>
      <c r="L38" s="736"/>
      <c r="M38" s="736"/>
      <c r="N38" s="736"/>
      <c r="O38" s="736"/>
      <c r="P38" s="736"/>
      <c r="Q38" s="736"/>
      <c r="R38" s="736"/>
      <c r="S38" s="736"/>
      <c r="T38" s="736"/>
      <c r="U38" s="736"/>
      <c r="V38" s="736"/>
      <c r="W38" s="736"/>
      <c r="X38" s="736"/>
      <c r="Y38" s="736"/>
      <c r="Z38" s="736"/>
      <c r="AA38" s="736"/>
      <c r="AB38" s="736"/>
      <c r="AC38" s="736"/>
      <c r="AD38" s="736"/>
      <c r="AE38" s="736"/>
      <c r="AF38" s="736"/>
      <c r="AG38" s="736"/>
      <c r="AH38" s="736"/>
      <c r="AI38" s="736"/>
      <c r="AJ38" s="736"/>
      <c r="AK38" s="139" t="str">
        <f>IF(H6="","",IF(AND('別紙様式2-2（個票（４、５月））'!AG10="○",'別紙様式2-3（個票（６月以降））'!AG10="○",COUNTIF('別紙様式2-2（個票（４、５月））'!AG13:AG1048576,"*令和８年度特例要件を*")+COUNTIF('別紙様式2-3（個票（６月以降））'!AG13:AG1048576,"*令和８年度特例要件を*")=0),"○","×"))</f>
        <v>×</v>
      </c>
      <c r="AL38" s="19"/>
      <c r="AM38" s="542"/>
      <c r="AN38" s="542"/>
      <c r="AO38" s="542"/>
      <c r="AP38" s="542"/>
      <c r="AQ38" s="542"/>
      <c r="AR38" s="542"/>
      <c r="AS38" s="542"/>
      <c r="AT38" s="542"/>
      <c r="AU38" s="542"/>
      <c r="AV38" s="542"/>
      <c r="AW38" s="542"/>
      <c r="AX38" s="542"/>
      <c r="AY38" s="542"/>
      <c r="BA38" s="878">
        <f>COUNTIF('別紙様式2-2（個票（４、５月））'!O:O,"処遇改善加算Ⅰ")+COUNTIF('別紙様式2-2（個票（４、５月））'!O:O,"処遇改善加算Ⅱ")+COUNTIF('別紙様式2-2（個票（４、５月））'!O:O,"処遇改善加算Ⅲ")+COUNTIF('別紙様式2-2（個票（４、５月））'!O:O,"処遇改善加算Ⅳ")</f>
        <v>6</v>
      </c>
      <c r="BB38" s="878"/>
      <c r="BC38" s="878"/>
      <c r="BD38" s="878"/>
      <c r="BE38" s="952">
        <f>COUNTIF('別紙様式2-3（個票（６月以降））'!O:O,"*処遇改善加算Ⅰ*")+COUNTIF('別紙様式2-3（個票（６月以降））'!O:O,"*処遇改善加算Ⅱ*")+COUNTIF('別紙様式2-3（個票（６月以降））'!O:O,"処遇改善加算Ⅲ")+COUNTIF('別紙様式2-3（個票（６月以降））'!O:O,"処遇改善加算Ⅳ")</f>
        <v>6</v>
      </c>
      <c r="BF38" s="952"/>
      <c r="BG38" s="952"/>
      <c r="BH38" s="952"/>
      <c r="BI38" s="945">
        <f>COUNTIF('別紙様式2-3（個票（６月以降））'!BR13:BR113,"対象")</f>
        <v>1</v>
      </c>
      <c r="BJ38" s="946"/>
      <c r="BK38" s="946"/>
      <c r="BL38" s="946"/>
      <c r="BM38" s="946"/>
      <c r="BN38" s="947"/>
    </row>
    <row r="39" spans="1:66" s="13" customFormat="1" ht="33" customHeight="1" thickBot="1">
      <c r="A39" s="19"/>
      <c r="B39" s="733" t="s">
        <v>67</v>
      </c>
      <c r="C39" s="736"/>
      <c r="D39" s="736"/>
      <c r="E39" s="736"/>
      <c r="F39" s="736"/>
      <c r="G39" s="736"/>
      <c r="H39" s="736"/>
      <c r="I39" s="736"/>
      <c r="J39" s="736"/>
      <c r="K39" s="736"/>
      <c r="L39" s="736"/>
      <c r="M39" s="736"/>
      <c r="N39" s="736"/>
      <c r="O39" s="736"/>
      <c r="P39" s="736"/>
      <c r="Q39" s="736"/>
      <c r="R39" s="736"/>
      <c r="S39" s="736"/>
      <c r="T39" s="736"/>
      <c r="U39" s="736"/>
      <c r="V39" s="736"/>
      <c r="W39" s="736"/>
      <c r="X39" s="736"/>
      <c r="Y39" s="736"/>
      <c r="Z39" s="736"/>
      <c r="AA39" s="736"/>
      <c r="AB39" s="736"/>
      <c r="AC39" s="736"/>
      <c r="AD39" s="736"/>
      <c r="AE39" s="736"/>
      <c r="AF39" s="736"/>
      <c r="AG39" s="736"/>
      <c r="AH39" s="736"/>
      <c r="AI39" s="736"/>
      <c r="AJ39" s="736"/>
      <c r="AK39" s="624" t="s">
        <v>30</v>
      </c>
      <c r="AL39" s="19"/>
      <c r="AM39" s="542"/>
      <c r="AN39" s="542"/>
      <c r="AO39" s="542"/>
      <c r="AP39" s="542"/>
      <c r="AQ39" s="542"/>
      <c r="AR39" s="542"/>
      <c r="AS39" s="542"/>
      <c r="AT39" s="542"/>
      <c r="AU39" s="542"/>
      <c r="AV39" s="542"/>
      <c r="AW39" s="542"/>
      <c r="AX39" s="542"/>
      <c r="AY39" s="542"/>
      <c r="BA39" s="379"/>
      <c r="BB39" s="379"/>
      <c r="BC39" s="379"/>
      <c r="BD39" s="379"/>
      <c r="BE39" s="380"/>
      <c r="BF39" s="380"/>
      <c r="BG39" s="380"/>
      <c r="BH39" s="380"/>
    </row>
    <row r="40" spans="1:66" s="13" customFormat="1" ht="6" customHeight="1">
      <c r="A40" s="19"/>
      <c r="B40" s="796"/>
      <c r="C40" s="796"/>
      <c r="D40" s="796"/>
      <c r="E40" s="796"/>
      <c r="F40" s="796"/>
      <c r="G40" s="796"/>
      <c r="H40" s="796"/>
      <c r="I40" s="796"/>
      <c r="J40" s="796"/>
      <c r="K40" s="796"/>
      <c r="L40" s="796"/>
      <c r="M40" s="796"/>
      <c r="N40" s="796"/>
      <c r="O40" s="796"/>
      <c r="P40" s="796"/>
      <c r="Q40" s="796"/>
      <c r="R40" s="796"/>
      <c r="S40" s="796"/>
      <c r="T40" s="796"/>
      <c r="U40" s="796"/>
      <c r="V40" s="796"/>
      <c r="W40" s="796"/>
      <c r="X40" s="796"/>
      <c r="Y40" s="796"/>
      <c r="Z40" s="796"/>
      <c r="AA40" s="796"/>
      <c r="AB40" s="796"/>
      <c r="AC40" s="796"/>
      <c r="AD40" s="796"/>
      <c r="AE40" s="796"/>
      <c r="AF40" s="796"/>
      <c r="AG40" s="796"/>
      <c r="AH40" s="796"/>
      <c r="AI40" s="796"/>
      <c r="AJ40" s="796"/>
      <c r="AK40" s="796"/>
      <c r="AL40" s="19"/>
      <c r="AM40" s="366"/>
      <c r="AN40" s="366"/>
      <c r="AO40" s="366"/>
      <c r="AP40" s="366"/>
      <c r="AQ40" s="366"/>
      <c r="AR40" s="366"/>
      <c r="AS40" s="366"/>
      <c r="AT40" s="366"/>
      <c r="AU40" s="366"/>
      <c r="AV40" s="366"/>
      <c r="AW40" s="366"/>
      <c r="AX40" s="366"/>
      <c r="AY40" s="366"/>
      <c r="BA40" s="27" t="s">
        <v>2201</v>
      </c>
      <c r="BB40" s="27"/>
      <c r="BC40" s="27"/>
      <c r="BD40" s="27"/>
      <c r="BE40" s="27" t="s">
        <v>2202</v>
      </c>
      <c r="BF40" s="27"/>
      <c r="BG40" s="27"/>
      <c r="BH40" s="27"/>
    </row>
    <row r="41" spans="1:66" s="13" customFormat="1" ht="19.899999999999999" customHeight="1" thickBot="1">
      <c r="A41" s="19"/>
      <c r="B41" s="652" t="s">
        <v>68</v>
      </c>
      <c r="C41" s="950"/>
      <c r="D41" s="950"/>
      <c r="E41" s="950"/>
      <c r="F41" s="950"/>
      <c r="G41" s="950"/>
      <c r="H41" s="950"/>
      <c r="I41" s="950"/>
      <c r="J41" s="950"/>
      <c r="K41" s="950"/>
      <c r="L41" s="950"/>
      <c r="M41" s="950"/>
      <c r="N41" s="950"/>
      <c r="O41" s="950"/>
      <c r="P41" s="950"/>
      <c r="Q41" s="950"/>
      <c r="R41" s="950"/>
      <c r="S41" s="950"/>
      <c r="T41" s="950"/>
      <c r="U41" s="950"/>
      <c r="V41" s="950"/>
      <c r="W41" s="950"/>
      <c r="X41" s="950"/>
      <c r="Y41" s="950"/>
      <c r="Z41" s="950"/>
      <c r="AA41" s="950"/>
      <c r="AB41" s="950"/>
      <c r="AC41" s="950"/>
      <c r="AD41" s="950"/>
      <c r="AE41" s="950"/>
      <c r="AF41" s="950"/>
      <c r="AG41" s="950"/>
      <c r="AH41" s="950"/>
      <c r="AI41" s="950"/>
      <c r="AJ41" s="950"/>
      <c r="AK41" s="950"/>
      <c r="AL41" s="19"/>
      <c r="AM41" s="542"/>
      <c r="AN41" s="542"/>
      <c r="AO41" s="542"/>
      <c r="AP41" s="542"/>
      <c r="AQ41" s="542"/>
      <c r="AR41" s="542"/>
      <c r="AS41" s="542"/>
      <c r="AT41" s="542"/>
      <c r="AU41" s="542"/>
      <c r="AV41" s="542"/>
      <c r="AW41" s="542"/>
      <c r="AX41" s="542"/>
      <c r="AY41" s="542"/>
      <c r="BA41" s="951" t="s">
        <v>69</v>
      </c>
      <c r="BB41" s="951"/>
      <c r="BC41" s="951"/>
      <c r="BD41" s="951"/>
      <c r="BE41" s="951" t="s">
        <v>69</v>
      </c>
      <c r="BF41" s="951"/>
      <c r="BG41" s="951"/>
      <c r="BH41" s="951"/>
    </row>
    <row r="42" spans="1:66" s="13" customFormat="1" ht="18" customHeight="1" thickBot="1">
      <c r="A42" s="19"/>
      <c r="B42" s="733" t="s">
        <v>2207</v>
      </c>
      <c r="C42" s="733"/>
      <c r="D42" s="733"/>
      <c r="E42" s="733"/>
      <c r="F42" s="733"/>
      <c r="G42" s="733"/>
      <c r="H42" s="733"/>
      <c r="I42" s="733"/>
      <c r="J42" s="733"/>
      <c r="K42" s="733"/>
      <c r="L42" s="733"/>
      <c r="M42" s="733"/>
      <c r="N42" s="733"/>
      <c r="O42" s="733"/>
      <c r="P42" s="733"/>
      <c r="Q42" s="733"/>
      <c r="R42" s="733"/>
      <c r="S42" s="733"/>
      <c r="T42" s="733"/>
      <c r="U42" s="733"/>
      <c r="V42" s="733"/>
      <c r="W42" s="733"/>
      <c r="X42" s="733"/>
      <c r="Y42" s="733"/>
      <c r="Z42" s="733"/>
      <c r="AA42" s="733"/>
      <c r="AB42" s="733"/>
      <c r="AC42" s="733"/>
      <c r="AD42" s="733"/>
      <c r="AE42" s="733"/>
      <c r="AF42" s="733"/>
      <c r="AG42" s="733"/>
      <c r="AH42" s="733"/>
      <c r="AI42" s="733"/>
      <c r="AJ42" s="733"/>
      <c r="AK42" s="139" t="str">
        <f>IF(H6="","",IF(AND('別紙様式2-2（個票（４、５月））'!AH10="○",'別紙様式2-3（個票（６月以降））'!AH10="○",COUNTIF('別紙様式2-2（個票（４、５月））'!AH13:AH1048576,"*令和８年度特例要件を*")+COUNTIF('別紙様式2-3（個票（６月以降））'!AH13:AH1048576,"*令和８年度特例要件を*")=0),"○","×"))</f>
        <v>×</v>
      </c>
      <c r="AL42" s="19"/>
      <c r="AM42" s="542"/>
      <c r="AN42" s="542"/>
      <c r="AO42" s="542"/>
      <c r="AP42" s="542"/>
      <c r="AQ42" s="542"/>
      <c r="AR42" s="542"/>
      <c r="AS42" s="542"/>
      <c r="AT42" s="542"/>
      <c r="AU42" s="542"/>
      <c r="AV42" s="542"/>
      <c r="AW42" s="542"/>
      <c r="AX42" s="542"/>
      <c r="AY42" s="542"/>
      <c r="BA42" s="878">
        <f>COUNTIF('別紙様式2-2（個票（４、５月））'!O13:O113,"処遇改善加算Ⅰ")+COUNTIF('別紙様式2-2（個票（４、５月））'!O13:O113,"処遇改善加算Ⅱ")+COUNTIF('別紙様式2-2（個票（４、５月））'!O13:O113,"処遇改善加算Ⅲ")</f>
        <v>4</v>
      </c>
      <c r="BB42" s="878"/>
      <c r="BC42" s="878"/>
      <c r="BD42" s="878"/>
      <c r="BE42" s="952">
        <f>COUNTIF('別紙様式2-3（個票（６月以降））'!O:O,"*処遇改善加算Ⅰ*")+COUNTIF('別紙様式2-3（個票（６月以降））'!O:O,"*処遇改善加算Ⅱ*")+COUNTIF('別紙様式2-3（個票（６月以降））'!O:O,"処遇改善加算Ⅲ")</f>
        <v>6</v>
      </c>
      <c r="BF42" s="952"/>
      <c r="BG42" s="952"/>
      <c r="BH42" s="952"/>
    </row>
    <row r="43" spans="1:66" s="13" customFormat="1" ht="30.6" customHeight="1" thickBot="1">
      <c r="A43" s="19"/>
      <c r="B43" s="733" t="s">
        <v>70</v>
      </c>
      <c r="C43" s="736"/>
      <c r="D43" s="736"/>
      <c r="E43" s="736"/>
      <c r="F43" s="736"/>
      <c r="G43" s="736"/>
      <c r="H43" s="736"/>
      <c r="I43" s="736"/>
      <c r="J43" s="736"/>
      <c r="K43" s="736"/>
      <c r="L43" s="736"/>
      <c r="M43" s="736"/>
      <c r="N43" s="736"/>
      <c r="O43" s="736"/>
      <c r="P43" s="736"/>
      <c r="Q43" s="736"/>
      <c r="R43" s="736"/>
      <c r="S43" s="736"/>
      <c r="T43" s="736"/>
      <c r="U43" s="736"/>
      <c r="V43" s="736"/>
      <c r="W43" s="736"/>
      <c r="X43" s="736"/>
      <c r="Y43" s="736"/>
      <c r="Z43" s="736"/>
      <c r="AA43" s="736"/>
      <c r="AB43" s="736"/>
      <c r="AC43" s="736"/>
      <c r="AD43" s="736"/>
      <c r="AE43" s="736"/>
      <c r="AF43" s="736"/>
      <c r="AG43" s="736"/>
      <c r="AH43" s="736"/>
      <c r="AI43" s="736"/>
      <c r="AJ43" s="736"/>
      <c r="AK43" s="624" t="s">
        <v>30</v>
      </c>
      <c r="AL43" s="19"/>
      <c r="AM43" s="542"/>
      <c r="AN43" s="542"/>
      <c r="AO43" s="542"/>
      <c r="AP43" s="542"/>
      <c r="AQ43" s="542"/>
      <c r="AR43" s="542"/>
      <c r="AS43" s="542"/>
      <c r="AT43" s="542"/>
      <c r="AU43" s="542"/>
      <c r="AV43" s="542"/>
      <c r="AW43" s="542"/>
      <c r="AX43" s="542"/>
      <c r="AY43" s="542"/>
      <c r="BA43" s="379"/>
      <c r="BB43" s="379"/>
      <c r="BC43" s="379"/>
      <c r="BD43" s="379"/>
      <c r="BE43" s="380"/>
      <c r="BF43" s="380"/>
      <c r="BG43" s="380"/>
      <c r="BH43" s="380"/>
    </row>
    <row r="44" spans="1:66" s="13" customFormat="1" ht="6" customHeight="1">
      <c r="A44" s="19"/>
      <c r="B44" s="544"/>
      <c r="C44" s="544"/>
      <c r="D44" s="544"/>
      <c r="E44" s="544"/>
      <c r="F44" s="544"/>
      <c r="G44" s="544"/>
      <c r="H44" s="544"/>
      <c r="I44" s="544"/>
      <c r="J44" s="544"/>
      <c r="K44" s="544"/>
      <c r="L44" s="544"/>
      <c r="M44" s="544"/>
      <c r="N44" s="544"/>
      <c r="O44" s="544"/>
      <c r="P44" s="544"/>
      <c r="Q44" s="544"/>
      <c r="R44" s="544"/>
      <c r="S44" s="544"/>
      <c r="T44" s="544"/>
      <c r="U44" s="544"/>
      <c r="V44" s="544"/>
      <c r="W44" s="544"/>
      <c r="X44" s="544"/>
      <c r="Y44" s="544"/>
      <c r="Z44" s="544"/>
      <c r="AA44" s="544"/>
      <c r="AB44" s="544"/>
      <c r="AC44" s="544"/>
      <c r="AD44" s="544"/>
      <c r="AE44" s="544"/>
      <c r="AF44" s="544"/>
      <c r="AG44" s="544"/>
      <c r="AH44" s="544"/>
      <c r="AI44" s="544"/>
      <c r="AJ44" s="544"/>
      <c r="AK44" s="544"/>
      <c r="AL44" s="19"/>
      <c r="AM44" s="367"/>
      <c r="AN44" s="19"/>
      <c r="AO44" s="19"/>
      <c r="AP44" s="19"/>
      <c r="AQ44" s="19"/>
      <c r="AR44" s="19"/>
      <c r="AS44" s="19"/>
      <c r="AT44" s="19"/>
      <c r="AU44" s="19"/>
      <c r="AV44" s="19"/>
      <c r="AW44" s="19"/>
      <c r="AX44" s="19"/>
      <c r="AY44" s="19"/>
      <c r="BA44" s="27" t="s">
        <v>2201</v>
      </c>
      <c r="BB44" s="27"/>
      <c r="BC44" s="27"/>
      <c r="BD44" s="27"/>
      <c r="BE44" s="27" t="s">
        <v>2202</v>
      </c>
      <c r="BF44" s="27"/>
      <c r="BG44" s="27"/>
      <c r="BH44" s="27"/>
    </row>
    <row r="45" spans="1:66" s="13" customFormat="1" ht="23.45" customHeight="1" thickBot="1">
      <c r="A45" s="19"/>
      <c r="B45" s="876" t="s">
        <v>71</v>
      </c>
      <c r="C45" s="877"/>
      <c r="D45" s="877"/>
      <c r="E45" s="877"/>
      <c r="F45" s="877"/>
      <c r="G45" s="877"/>
      <c r="H45" s="877"/>
      <c r="I45" s="877"/>
      <c r="J45" s="877"/>
      <c r="K45" s="877"/>
      <c r="L45" s="877"/>
      <c r="M45" s="877"/>
      <c r="N45" s="877"/>
      <c r="O45" s="877"/>
      <c r="P45" s="877"/>
      <c r="Q45" s="877"/>
      <c r="R45" s="877"/>
      <c r="S45" s="877"/>
      <c r="T45" s="877"/>
      <c r="U45" s="877"/>
      <c r="V45" s="877"/>
      <c r="W45" s="877"/>
      <c r="X45" s="877"/>
      <c r="Y45" s="877"/>
      <c r="Z45" s="877"/>
      <c r="AA45" s="877"/>
      <c r="AB45" s="877"/>
      <c r="AC45" s="877"/>
      <c r="AD45" s="877"/>
      <c r="AE45" s="877"/>
      <c r="AF45" s="877"/>
      <c r="AG45" s="877"/>
      <c r="AH45" s="877"/>
      <c r="AI45" s="877"/>
      <c r="AJ45" s="877"/>
      <c r="AK45" s="877"/>
      <c r="AL45" s="19"/>
      <c r="AM45" s="19"/>
      <c r="AN45" s="19"/>
      <c r="AO45" s="19"/>
      <c r="AP45" s="19"/>
      <c r="AQ45" s="19"/>
      <c r="AR45" s="19"/>
      <c r="AS45" s="19"/>
      <c r="AT45" s="19"/>
      <c r="AU45" s="19"/>
      <c r="AV45" s="19"/>
      <c r="AW45" s="19"/>
      <c r="AX45" s="19"/>
      <c r="AY45" s="19"/>
      <c r="BA45" s="878" t="s">
        <v>72</v>
      </c>
      <c r="BB45" s="878"/>
      <c r="BC45" s="878"/>
      <c r="BD45" s="878"/>
      <c r="BE45" s="878" t="s">
        <v>72</v>
      </c>
      <c r="BF45" s="878"/>
      <c r="BG45" s="878"/>
      <c r="BH45" s="878"/>
    </row>
    <row r="46" spans="1:66" ht="18" customHeight="1" thickBot="1">
      <c r="A46" s="18"/>
      <c r="B46" s="879" t="s">
        <v>2204</v>
      </c>
      <c r="C46" s="879"/>
      <c r="D46" s="879"/>
      <c r="E46" s="879"/>
      <c r="F46" s="879"/>
      <c r="G46" s="879"/>
      <c r="H46" s="879"/>
      <c r="I46" s="879"/>
      <c r="J46" s="879"/>
      <c r="K46" s="879"/>
      <c r="L46" s="879"/>
      <c r="M46" s="879"/>
      <c r="N46" s="879"/>
      <c r="O46" s="879"/>
      <c r="P46" s="879"/>
      <c r="Q46" s="879"/>
      <c r="R46" s="879"/>
      <c r="S46" s="879"/>
      <c r="T46" s="879"/>
      <c r="U46" s="879"/>
      <c r="V46" s="879"/>
      <c r="W46" s="879"/>
      <c r="X46" s="879"/>
      <c r="Y46" s="879"/>
      <c r="Z46" s="879"/>
      <c r="AA46" s="879"/>
      <c r="AB46" s="879"/>
      <c r="AC46" s="879"/>
      <c r="AD46" s="879"/>
      <c r="AE46" s="879"/>
      <c r="AF46" s="879"/>
      <c r="AG46" s="879"/>
      <c r="AH46" s="879"/>
      <c r="AI46" s="879"/>
      <c r="AJ46" s="879"/>
      <c r="AK46" s="139" t="str">
        <f>IF(H6="","",IF(AND('別紙様式2-2（個票（４、５月））'!AI10="○",'別紙様式2-3（個票（６月以降））'!AI10="○",COUNTIF('別紙様式2-2（個票（４、５月））'!AI13:AI1048576,"*令和８年度特例要件を*")+COUNTIF('別紙様式2-3（個票（６月以降））'!AI13:AI1048576,"*令和８年度特例要件を*")=0),"○","×"))</f>
        <v>○</v>
      </c>
      <c r="AL46" s="18"/>
      <c r="AM46" s="18"/>
      <c r="AN46" s="18"/>
      <c r="AO46" s="18"/>
      <c r="AP46" s="18"/>
      <c r="AQ46" s="18"/>
      <c r="AR46" s="18"/>
      <c r="AS46" s="18"/>
      <c r="AT46" s="18"/>
      <c r="AU46" s="18"/>
      <c r="AV46" s="18"/>
      <c r="AW46" s="18"/>
      <c r="AX46" s="136"/>
      <c r="AY46" s="18"/>
      <c r="BA46" s="880">
        <f>COUNTIF('別紙様式2-2（個票（４、５月））'!O13:O113,"処遇改善加算Ⅰ")+COUNTIF('別紙様式2-2（個票（４、５月））'!O13:O113,"処遇改善加算Ⅱ")</f>
        <v>2</v>
      </c>
      <c r="BB46" s="880"/>
      <c r="BC46" s="880"/>
      <c r="BD46" s="880"/>
      <c r="BE46" s="881">
        <f>COUNTIF('別紙様式2-3（個票（６月以降））'!O:O,"*処遇改善加算Ⅰ*")+COUNTIF('別紙様式2-3（個票（６月以降））'!O:O,"*処遇改善加算Ⅱ*")</f>
        <v>3</v>
      </c>
      <c r="BF46" s="881"/>
      <c r="BG46" s="881"/>
      <c r="BH46" s="881"/>
    </row>
    <row r="47" spans="1:66" ht="30.6" customHeight="1" thickBot="1">
      <c r="A47" s="18"/>
      <c r="B47" s="733" t="s">
        <v>2470</v>
      </c>
      <c r="C47" s="736"/>
      <c r="D47" s="736"/>
      <c r="E47" s="736"/>
      <c r="F47" s="736"/>
      <c r="G47" s="736"/>
      <c r="H47" s="736"/>
      <c r="I47" s="736"/>
      <c r="J47" s="736"/>
      <c r="K47" s="736"/>
      <c r="L47" s="736"/>
      <c r="M47" s="736"/>
      <c r="N47" s="736"/>
      <c r="O47" s="736"/>
      <c r="P47" s="736"/>
      <c r="Q47" s="736"/>
      <c r="R47" s="736"/>
      <c r="S47" s="736"/>
      <c r="T47" s="736"/>
      <c r="U47" s="736"/>
      <c r="V47" s="736"/>
      <c r="W47" s="736"/>
      <c r="X47" s="736"/>
      <c r="Y47" s="736"/>
      <c r="Z47" s="736"/>
      <c r="AA47" s="736"/>
      <c r="AB47" s="736"/>
      <c r="AC47" s="736"/>
      <c r="AD47" s="736"/>
      <c r="AE47" s="736"/>
      <c r="AF47" s="736"/>
      <c r="AG47" s="736"/>
      <c r="AH47" s="736"/>
      <c r="AI47" s="736"/>
      <c r="AJ47" s="736"/>
      <c r="AK47" s="624"/>
      <c r="AL47" s="18"/>
      <c r="AM47" s="18"/>
      <c r="AN47" s="18"/>
      <c r="AO47" s="18"/>
      <c r="AP47" s="18"/>
      <c r="AQ47" s="18"/>
      <c r="AR47" s="18"/>
      <c r="AS47" s="18"/>
      <c r="AT47" s="18"/>
      <c r="AU47" s="18"/>
      <c r="AV47" s="18"/>
      <c r="AW47" s="18"/>
      <c r="AX47" s="136"/>
      <c r="AY47" s="18"/>
      <c r="BA47" s="371"/>
      <c r="BB47" s="371"/>
      <c r="BC47" s="371"/>
      <c r="BD47" s="371"/>
    </row>
    <row r="48" spans="1:66" ht="6" customHeight="1">
      <c r="A48" s="18"/>
      <c r="B48" s="149"/>
      <c r="C48" s="18"/>
      <c r="D48" s="536"/>
      <c r="E48" s="536"/>
      <c r="F48" s="536"/>
      <c r="G48" s="536"/>
      <c r="H48" s="536"/>
      <c r="I48" s="536"/>
      <c r="J48" s="536"/>
      <c r="K48" s="536"/>
      <c r="L48" s="536"/>
      <c r="M48" s="536"/>
      <c r="N48" s="536"/>
      <c r="O48" s="536"/>
      <c r="P48" s="536"/>
      <c r="Q48" s="536"/>
      <c r="R48" s="536"/>
      <c r="S48" s="536"/>
      <c r="T48" s="536"/>
      <c r="U48" s="536"/>
      <c r="V48" s="536"/>
      <c r="W48" s="536"/>
      <c r="X48" s="536"/>
      <c r="Y48" s="536"/>
      <c r="Z48" s="536"/>
      <c r="AA48" s="536"/>
      <c r="AB48" s="536"/>
      <c r="AC48" s="536"/>
      <c r="AD48" s="536"/>
      <c r="AE48" s="536"/>
      <c r="AF48" s="536"/>
      <c r="AG48" s="536"/>
      <c r="AH48" s="536"/>
      <c r="AI48" s="536"/>
      <c r="AJ48" s="536"/>
      <c r="AK48" s="18"/>
      <c r="AL48" s="18"/>
      <c r="AM48" s="18"/>
      <c r="AN48" s="18"/>
      <c r="AO48" s="18"/>
      <c r="AP48" s="18"/>
      <c r="AQ48" s="18"/>
      <c r="AR48" s="18"/>
      <c r="AS48" s="18"/>
      <c r="AT48" s="18"/>
      <c r="AU48" s="18"/>
      <c r="AV48" s="18"/>
      <c r="AW48" s="136"/>
      <c r="AX48" s="18"/>
      <c r="AY48" s="18"/>
      <c r="BA48" s="148"/>
      <c r="BB48" s="148"/>
      <c r="BC48" s="148"/>
    </row>
    <row r="49" spans="1:60" s="13" customFormat="1" ht="4.9000000000000004" customHeight="1">
      <c r="A49" s="18"/>
      <c r="B49" s="530"/>
      <c r="C49" s="154"/>
      <c r="D49" s="154"/>
      <c r="E49" s="154"/>
      <c r="F49" s="154"/>
      <c r="G49" s="154"/>
      <c r="H49" s="154"/>
      <c r="I49" s="154"/>
      <c r="J49" s="154"/>
      <c r="K49" s="154"/>
      <c r="L49" s="154"/>
      <c r="M49" s="154"/>
      <c r="N49" s="154"/>
      <c r="O49" s="154"/>
      <c r="P49" s="154"/>
      <c r="Q49" s="154"/>
      <c r="R49" s="154"/>
      <c r="S49" s="154"/>
      <c r="T49" s="154"/>
      <c r="U49" s="154"/>
      <c r="V49" s="154"/>
      <c r="W49" s="154"/>
      <c r="X49" s="154"/>
      <c r="Y49" s="154"/>
      <c r="Z49" s="154"/>
      <c r="AA49" s="154"/>
      <c r="AB49" s="154"/>
      <c r="AC49" s="154"/>
      <c r="AD49" s="154"/>
      <c r="AE49" s="154"/>
      <c r="AF49" s="154"/>
      <c r="AG49" s="154"/>
      <c r="AH49" s="154"/>
      <c r="AI49" s="154"/>
      <c r="AJ49" s="154"/>
      <c r="AK49" s="154"/>
      <c r="AL49" s="18"/>
      <c r="AM49" s="19"/>
      <c r="AN49" s="19"/>
      <c r="AO49" s="19"/>
      <c r="AP49" s="19"/>
      <c r="AQ49" s="19"/>
      <c r="AR49" s="19"/>
      <c r="AS49" s="19"/>
      <c r="AT49" s="19"/>
      <c r="AU49" s="19"/>
      <c r="AV49" s="19"/>
      <c r="AW49" s="19"/>
      <c r="AX49" s="19"/>
      <c r="AY49" s="19"/>
      <c r="BA49" s="148"/>
      <c r="BB49" s="148"/>
      <c r="BC49" s="148"/>
    </row>
    <row r="50" spans="1:60" ht="23.45" customHeight="1" thickBot="1">
      <c r="A50" s="18"/>
      <c r="B50" s="876" t="s">
        <v>2247</v>
      </c>
      <c r="C50" s="877"/>
      <c r="D50" s="877"/>
      <c r="E50" s="877"/>
      <c r="F50" s="877"/>
      <c r="G50" s="877"/>
      <c r="H50" s="877"/>
      <c r="I50" s="877"/>
      <c r="J50" s="877"/>
      <c r="K50" s="877"/>
      <c r="L50" s="877"/>
      <c r="M50" s="877"/>
      <c r="N50" s="877"/>
      <c r="O50" s="877"/>
      <c r="P50" s="877"/>
      <c r="Q50" s="877"/>
      <c r="R50" s="877"/>
      <c r="S50" s="877"/>
      <c r="T50" s="877"/>
      <c r="U50" s="877"/>
      <c r="V50" s="877"/>
      <c r="W50" s="877"/>
      <c r="X50" s="877"/>
      <c r="Y50" s="877"/>
      <c r="Z50" s="877"/>
      <c r="AA50" s="877"/>
      <c r="AB50" s="877"/>
      <c r="AC50" s="877"/>
      <c r="AD50" s="877"/>
      <c r="AE50" s="877"/>
      <c r="AF50" s="877"/>
      <c r="AG50" s="877"/>
      <c r="AH50" s="877"/>
      <c r="AI50" s="877"/>
      <c r="AJ50" s="877"/>
      <c r="AK50" s="877"/>
      <c r="AL50" s="18"/>
      <c r="AM50" s="18"/>
      <c r="AN50" s="18"/>
      <c r="AO50" s="18"/>
      <c r="AP50" s="18"/>
      <c r="AQ50" s="18"/>
      <c r="AR50" s="18"/>
      <c r="AS50" s="18"/>
      <c r="AT50" s="18"/>
      <c r="AU50" s="18"/>
      <c r="AV50" s="18"/>
      <c r="AW50" s="18"/>
      <c r="AX50" s="18"/>
      <c r="AY50" s="18"/>
      <c r="AZ50" s="13"/>
      <c r="BA50" s="873" t="s">
        <v>73</v>
      </c>
      <c r="BB50" s="873"/>
      <c r="BC50" s="873"/>
      <c r="BD50" s="873"/>
      <c r="BE50" s="873" t="s">
        <v>73</v>
      </c>
      <c r="BF50" s="873"/>
      <c r="BG50" s="873"/>
      <c r="BH50" s="873"/>
    </row>
    <row r="51" spans="1:60" ht="18" customHeight="1" thickBot="1">
      <c r="A51" s="18"/>
      <c r="B51" s="874" t="s">
        <v>2205</v>
      </c>
      <c r="C51" s="874"/>
      <c r="D51" s="874"/>
      <c r="E51" s="874"/>
      <c r="F51" s="874"/>
      <c r="G51" s="874"/>
      <c r="H51" s="874"/>
      <c r="I51" s="874"/>
      <c r="J51" s="874"/>
      <c r="K51" s="874"/>
      <c r="L51" s="874"/>
      <c r="M51" s="874"/>
      <c r="N51" s="874"/>
      <c r="O51" s="874"/>
      <c r="P51" s="874"/>
      <c r="Q51" s="874"/>
      <c r="R51" s="874"/>
      <c r="S51" s="874"/>
      <c r="T51" s="874"/>
      <c r="U51" s="874"/>
      <c r="V51" s="874"/>
      <c r="W51" s="874"/>
      <c r="X51" s="874"/>
      <c r="Y51" s="874"/>
      <c r="Z51" s="874"/>
      <c r="AA51" s="874"/>
      <c r="AB51" s="874"/>
      <c r="AC51" s="874"/>
      <c r="AD51" s="874"/>
      <c r="AE51" s="874"/>
      <c r="AF51" s="874"/>
      <c r="AG51" s="874"/>
      <c r="AH51" s="874"/>
      <c r="AI51" s="874"/>
      <c r="AJ51" s="874"/>
      <c r="AK51" s="155" t="str">
        <f>IF(H6="", "", IF(AND('別紙様式2-2（個票（４、５月））'!AJ10="○",'別紙様式2-3（個票（６月以降））'!AJ10="○"), "○", "×"))</f>
        <v>○</v>
      </c>
      <c r="AL51" s="18"/>
      <c r="AM51" s="18"/>
      <c r="AN51" s="18"/>
      <c r="AO51" s="18"/>
      <c r="AP51" s="18"/>
      <c r="AQ51" s="18"/>
      <c r="AR51" s="18"/>
      <c r="AS51" s="18"/>
      <c r="AT51" s="18"/>
      <c r="AU51" s="18"/>
      <c r="AV51" s="18"/>
      <c r="AW51" s="18"/>
      <c r="AX51" s="18"/>
      <c r="AY51" s="18"/>
      <c r="BA51" s="875">
        <f>COUNTIF('別紙様式2-2（個票（４、５月））'!O13:O113,"処遇改善加算Ⅰ")</f>
        <v>1</v>
      </c>
      <c r="BB51" s="875"/>
      <c r="BC51" s="875"/>
      <c r="BD51" s="875"/>
      <c r="BE51" s="875">
        <f>COUNTIF('別紙様式2-3（個票（６月以降））'!O13:O113,"*処遇改善加算Ⅰ*")</f>
        <v>2</v>
      </c>
      <c r="BF51" s="875"/>
      <c r="BG51" s="875"/>
      <c r="BH51" s="875"/>
    </row>
    <row r="52" spans="1:60" ht="6" customHeight="1">
      <c r="A52" s="19"/>
      <c r="B52" s="25"/>
      <c r="C52" s="25"/>
      <c r="D52" s="25"/>
      <c r="E52" s="25"/>
      <c r="F52" s="115"/>
      <c r="G52" s="30"/>
      <c r="H52" s="30"/>
      <c r="I52" s="30"/>
      <c r="J52" s="30"/>
      <c r="K52" s="30"/>
      <c r="L52" s="30"/>
      <c r="M52" s="156"/>
      <c r="N52" s="156"/>
      <c r="O52" s="156"/>
      <c r="P52" s="156"/>
      <c r="Q52" s="156"/>
      <c r="R52" s="156"/>
      <c r="S52" s="156"/>
      <c r="T52" s="156"/>
      <c r="U52" s="30"/>
      <c r="V52" s="30"/>
      <c r="W52" s="146"/>
      <c r="X52" s="30"/>
      <c r="Y52" s="30"/>
      <c r="Z52" s="30"/>
      <c r="AA52" s="156"/>
      <c r="AB52" s="30"/>
      <c r="AC52" s="30"/>
      <c r="AD52" s="30"/>
      <c r="AE52" s="30"/>
      <c r="AF52" s="30"/>
      <c r="AG52" s="30"/>
      <c r="AH52" s="30"/>
      <c r="AI52" s="30"/>
      <c r="AJ52" s="30"/>
      <c r="AK52" s="30"/>
      <c r="AL52" s="19"/>
      <c r="AM52" s="150"/>
      <c r="AN52" s="18"/>
      <c r="AO52" s="18"/>
      <c r="AP52" s="18"/>
      <c r="AQ52" s="18"/>
      <c r="AR52" s="18"/>
      <c r="AS52" s="18"/>
      <c r="AT52" s="18"/>
      <c r="AU52" s="18"/>
      <c r="AV52" s="18"/>
      <c r="AW52" s="18"/>
      <c r="AX52" s="18"/>
      <c r="AY52" s="18"/>
    </row>
    <row r="53" spans="1:60" s="13" customFormat="1" ht="23.45" customHeight="1" thickBot="1">
      <c r="A53" s="57"/>
      <c r="B53" s="863" t="s">
        <v>74</v>
      </c>
      <c r="C53" s="864"/>
      <c r="D53" s="864"/>
      <c r="E53" s="864"/>
      <c r="F53" s="864"/>
      <c r="G53" s="864"/>
      <c r="H53" s="864"/>
      <c r="I53" s="864"/>
      <c r="J53" s="864"/>
      <c r="K53" s="864"/>
      <c r="L53" s="864"/>
      <c r="M53" s="864"/>
      <c r="N53" s="864"/>
      <c r="O53" s="864"/>
      <c r="P53" s="864"/>
      <c r="Q53" s="864"/>
      <c r="R53" s="864"/>
      <c r="S53" s="864"/>
      <c r="T53" s="864"/>
      <c r="U53" s="864"/>
      <c r="V53" s="864"/>
      <c r="W53" s="864"/>
      <c r="X53" s="864"/>
      <c r="Y53" s="864"/>
      <c r="Z53" s="864"/>
      <c r="AA53" s="864"/>
      <c r="AB53" s="864"/>
      <c r="AC53" s="864"/>
      <c r="AD53" s="864"/>
      <c r="AE53" s="864"/>
      <c r="AF53" s="864"/>
      <c r="AG53" s="864"/>
      <c r="AH53" s="864"/>
      <c r="AI53" s="864"/>
      <c r="AJ53" s="864"/>
      <c r="AK53" s="864"/>
      <c r="AL53" s="96"/>
      <c r="AM53" s="19"/>
      <c r="AN53" s="157"/>
      <c r="AO53" s="19"/>
      <c r="AP53" s="19"/>
      <c r="AQ53" s="19"/>
      <c r="AR53" s="19"/>
      <c r="AS53" s="19"/>
      <c r="AT53" s="19"/>
      <c r="AU53" s="19"/>
      <c r="AV53" s="19"/>
      <c r="AW53" s="19"/>
      <c r="AX53" s="19"/>
      <c r="AY53" s="19"/>
    </row>
    <row r="54" spans="1:60" s="24" customFormat="1" ht="16.899999999999999" customHeight="1" thickBot="1">
      <c r="A54" s="57"/>
      <c r="B54" s="865" t="s">
        <v>75</v>
      </c>
      <c r="C54" s="866"/>
      <c r="D54" s="866"/>
      <c r="E54" s="866"/>
      <c r="F54" s="866"/>
      <c r="G54" s="866"/>
      <c r="H54" s="866"/>
      <c r="I54" s="866"/>
      <c r="J54" s="866"/>
      <c r="K54" s="866"/>
      <c r="L54" s="866"/>
      <c r="M54" s="866"/>
      <c r="N54" s="866"/>
      <c r="O54" s="866"/>
      <c r="P54" s="866"/>
      <c r="Q54" s="866"/>
      <c r="R54" s="866"/>
      <c r="S54" s="866"/>
      <c r="T54" s="866"/>
      <c r="U54" s="866"/>
      <c r="V54" s="866"/>
      <c r="W54" s="866"/>
      <c r="X54" s="866"/>
      <c r="Y54" s="866"/>
      <c r="Z54" s="866"/>
      <c r="AA54" s="866"/>
      <c r="AB54" s="866"/>
      <c r="AC54" s="866"/>
      <c r="AD54" s="866"/>
      <c r="AE54" s="866"/>
      <c r="AF54" s="866"/>
      <c r="AG54" s="866"/>
      <c r="AH54" s="866"/>
      <c r="AI54" s="866"/>
      <c r="AJ54" s="866"/>
      <c r="AK54" s="564" t="str">
        <f>IF(H6="","",IF(AND('別紙様式2-2（個票（４、５月））'!AK10="",'別紙様式2-3（個票（６月以降））'!AK10=""),"",IF(OR(AND('別紙様式2-2（個票（４、５月））'!AK10="○",'別紙様式2-3（個票（６月以降））'!AK10="○"),AND('別紙様式2-2（個票（４、５月））'!AK10="○",'別紙様式2-3（個票（６月以降））'!AK10=""),AND('別紙様式2-2（個票（４、５月））'!AK10="",'別紙様式2-3（個票（６月以降））'!AK10="○")),"○","×")))</f>
        <v>○</v>
      </c>
      <c r="AL54" s="96"/>
      <c r="AM54" s="542"/>
      <c r="AN54" s="542"/>
      <c r="AO54" s="542"/>
      <c r="AP54" s="542"/>
      <c r="AQ54" s="542"/>
      <c r="AR54" s="542"/>
      <c r="AS54" s="542"/>
      <c r="AT54" s="542"/>
      <c r="AU54" s="542"/>
      <c r="AV54" s="542"/>
      <c r="AW54" s="542"/>
      <c r="AX54" s="542"/>
      <c r="AY54" s="542"/>
    </row>
    <row r="55" spans="1:60" s="24" customFormat="1" ht="31.5" customHeight="1" thickTop="1" thickBot="1">
      <c r="A55" s="57"/>
      <c r="B55" s="733" t="s">
        <v>2190</v>
      </c>
      <c r="C55" s="736"/>
      <c r="D55" s="736"/>
      <c r="E55" s="736"/>
      <c r="F55" s="736"/>
      <c r="G55" s="736"/>
      <c r="H55" s="736"/>
      <c r="I55" s="736"/>
      <c r="J55" s="736"/>
      <c r="K55" s="736"/>
      <c r="L55" s="736"/>
      <c r="M55" s="736"/>
      <c r="N55" s="736"/>
      <c r="O55" s="736"/>
      <c r="P55" s="736"/>
      <c r="Q55" s="736"/>
      <c r="R55" s="736"/>
      <c r="S55" s="736"/>
      <c r="T55" s="736"/>
      <c r="U55" s="736"/>
      <c r="V55" s="736"/>
      <c r="W55" s="736"/>
      <c r="X55" s="736"/>
      <c r="Y55" s="736"/>
      <c r="Z55" s="736"/>
      <c r="AA55" s="736"/>
      <c r="AB55" s="736"/>
      <c r="AC55" s="736"/>
      <c r="AD55" s="736"/>
      <c r="AE55" s="736"/>
      <c r="AF55" s="736"/>
      <c r="AG55" s="736"/>
      <c r="AH55" s="736"/>
      <c r="AI55" s="736"/>
      <c r="AJ55" s="736"/>
      <c r="AK55" s="625"/>
      <c r="AL55" s="96"/>
      <c r="AM55" s="158"/>
      <c r="AN55" s="542"/>
      <c r="AO55" s="542"/>
      <c r="AP55" s="542"/>
      <c r="AQ55" s="542"/>
      <c r="AR55" s="542"/>
      <c r="AS55" s="542"/>
      <c r="AT55" s="542"/>
      <c r="AU55" s="542"/>
      <c r="AV55" s="542"/>
      <c r="AW55" s="542"/>
      <c r="AX55" s="542"/>
      <c r="AY55" s="542"/>
    </row>
    <row r="56" spans="1:60" s="24" customFormat="1" ht="31.5" customHeight="1" thickTop="1" thickBot="1">
      <c r="A56" s="57"/>
      <c r="B56" s="867" t="s">
        <v>2191</v>
      </c>
      <c r="C56" s="867"/>
      <c r="D56" s="867"/>
      <c r="E56" s="867"/>
      <c r="F56" s="867"/>
      <c r="G56" s="867"/>
      <c r="H56" s="867"/>
      <c r="I56" s="867"/>
      <c r="J56" s="867"/>
      <c r="K56" s="867"/>
      <c r="L56" s="867"/>
      <c r="M56" s="867"/>
      <c r="N56" s="867"/>
      <c r="O56" s="867"/>
      <c r="P56" s="867"/>
      <c r="Q56" s="867"/>
      <c r="R56" s="867"/>
      <c r="S56" s="867"/>
      <c r="T56" s="867"/>
      <c r="U56" s="867"/>
      <c r="V56" s="867"/>
      <c r="W56" s="867"/>
      <c r="X56" s="867"/>
      <c r="Y56" s="867"/>
      <c r="Z56" s="867"/>
      <c r="AA56" s="867"/>
      <c r="AB56" s="867"/>
      <c r="AC56" s="867"/>
      <c r="AD56" s="867"/>
      <c r="AE56" s="867"/>
      <c r="AF56" s="867"/>
      <c r="AG56" s="867"/>
      <c r="AH56" s="867"/>
      <c r="AI56" s="867"/>
      <c r="AJ56" s="868"/>
      <c r="AK56" s="565" t="str">
        <f>IF(H6="","",IF(AND(AK58="",AK61="",AK64=""),"",IF(OR(AK58="×",AK61="×",AK64="×"),"×","○")))</f>
        <v>○</v>
      </c>
      <c r="AL56" s="96"/>
      <c r="AM56" s="158"/>
      <c r="AN56" s="158"/>
      <c r="AO56" s="158"/>
      <c r="AP56" s="158"/>
      <c r="AQ56" s="158"/>
      <c r="AR56" s="158"/>
      <c r="AS56" s="158"/>
      <c r="AT56" s="158"/>
      <c r="AU56" s="158"/>
      <c r="AV56" s="158"/>
      <c r="AW56" s="158"/>
      <c r="AX56" s="158"/>
      <c r="AY56" s="158"/>
    </row>
    <row r="57" spans="1:60" s="24" customFormat="1" ht="7.9" customHeight="1" thickBot="1">
      <c r="A57" s="57"/>
      <c r="B57" s="159"/>
      <c r="C57" s="159"/>
      <c r="D57" s="159"/>
      <c r="E57" s="159"/>
      <c r="F57" s="159"/>
      <c r="G57" s="159"/>
      <c r="H57" s="159"/>
      <c r="I57" s="159"/>
      <c r="J57" s="159"/>
      <c r="K57" s="159"/>
      <c r="L57" s="159"/>
      <c r="M57" s="159"/>
      <c r="N57" s="159"/>
      <c r="O57" s="159"/>
      <c r="P57" s="159"/>
      <c r="Q57" s="159"/>
      <c r="R57" s="159"/>
      <c r="S57" s="159"/>
      <c r="T57" s="159"/>
      <c r="U57" s="159"/>
      <c r="V57" s="159"/>
      <c r="W57" s="159"/>
      <c r="X57" s="159"/>
      <c r="Y57" s="159"/>
      <c r="Z57" s="159"/>
      <c r="AA57" s="159"/>
      <c r="AB57" s="159"/>
      <c r="AC57" s="159"/>
      <c r="AD57" s="159"/>
      <c r="AE57" s="159"/>
      <c r="AF57" s="159"/>
      <c r="AG57" s="159"/>
      <c r="AH57" s="159"/>
      <c r="AI57" s="159"/>
      <c r="AJ57" s="159"/>
      <c r="AK57" s="160"/>
      <c r="AL57" s="96"/>
      <c r="AM57" s="158"/>
      <c r="AN57" s="158"/>
      <c r="AO57" s="158"/>
      <c r="AP57" s="158"/>
      <c r="AQ57" s="158"/>
      <c r="AR57" s="158"/>
      <c r="AS57" s="158"/>
      <c r="AT57" s="158"/>
      <c r="AU57" s="158"/>
      <c r="AV57" s="158"/>
      <c r="AW57" s="158"/>
      <c r="AX57" s="158"/>
      <c r="AY57" s="158"/>
    </row>
    <row r="58" spans="1:60" ht="21" customHeight="1" thickBot="1">
      <c r="A58" s="18"/>
      <c r="B58" s="143" t="s">
        <v>76</v>
      </c>
      <c r="C58" s="144"/>
      <c r="D58" s="144"/>
      <c r="E58" s="144"/>
      <c r="F58" s="144"/>
      <c r="G58" s="144"/>
      <c r="H58" s="144"/>
      <c r="I58" s="144"/>
      <c r="J58" s="144"/>
      <c r="K58" s="144"/>
      <c r="L58" s="144"/>
      <c r="M58" s="144"/>
      <c r="N58" s="144"/>
      <c r="O58" s="144"/>
      <c r="P58" s="144"/>
      <c r="Q58" s="144"/>
      <c r="R58" s="144"/>
      <c r="S58" s="144"/>
      <c r="T58" s="144"/>
      <c r="U58" s="144"/>
      <c r="V58" s="19"/>
      <c r="W58" s="144"/>
      <c r="X58" s="144"/>
      <c r="Y58" s="144"/>
      <c r="Z58" s="144"/>
      <c r="AA58" s="144"/>
      <c r="AB58" s="144"/>
      <c r="AC58" s="144"/>
      <c r="AD58" s="144"/>
      <c r="AE58" s="144"/>
      <c r="AF58" s="144"/>
      <c r="AG58" s="144"/>
      <c r="AH58" s="19"/>
      <c r="AI58" s="869" t="str">
        <f>IF(H6="","",IF(OR(BA46&gt;0,BE46&gt;0),"該当",""))</f>
        <v>該当</v>
      </c>
      <c r="AJ58" s="870"/>
      <c r="AK58" s="580" t="str">
        <f>IF(AI58="","",IF(AND(COUNTIF($E$68:$F$71,"✓")+COUNTIF($E$68:$F$71,"誓約")&gt;=2,COUNTIF($E$72:$F$75,"✓")+COUNTIF($E$72:$F$75,"誓約")&gt;=2,COUNTIF($E$76:$F$80,"✓")+COUNTIF($E$76:$F$80,"誓約")&gt;=2,COUNTIF($E$81:$F$84,"✓")+COUNTIF($E$81:$F$84,"誓約")&gt;=2,OR(E92="✓",E92="誓約",AND(OR(E85="✓",E85="誓約"),COUNTIF($E$85:$F$92,"✓")+COUNTIF($E$85:$F$92,"誓約")&gt;=3)),COUNTIF($E$93:$F$96,"✓")+COUNTIF($E$93:$F$96,"誓約")&gt;=2),"○","×"))</f>
        <v>○</v>
      </c>
      <c r="AL58" s="19"/>
      <c r="AM58" s="57"/>
      <c r="AN58" s="57"/>
      <c r="AO58" s="57"/>
      <c r="AP58" s="57"/>
      <c r="AQ58" s="57"/>
      <c r="AR58" s="57"/>
      <c r="AS58" s="57"/>
      <c r="AT58" s="57"/>
      <c r="AU58" s="57"/>
      <c r="AV58" s="57"/>
      <c r="AW58" s="57"/>
      <c r="AX58" s="57"/>
      <c r="AY58" s="57"/>
    </row>
    <row r="59" spans="1:60" ht="60.75" customHeight="1">
      <c r="A59" s="18"/>
      <c r="B59" s="161" t="s">
        <v>77</v>
      </c>
      <c r="C59" s="856" t="s">
        <v>2527</v>
      </c>
      <c r="D59" s="856"/>
      <c r="E59" s="856"/>
      <c r="F59" s="856"/>
      <c r="G59" s="856"/>
      <c r="H59" s="856"/>
      <c r="I59" s="856"/>
      <c r="J59" s="856"/>
      <c r="K59" s="856"/>
      <c r="L59" s="856"/>
      <c r="M59" s="856"/>
      <c r="N59" s="856"/>
      <c r="O59" s="856"/>
      <c r="P59" s="856"/>
      <c r="Q59" s="856"/>
      <c r="R59" s="856"/>
      <c r="S59" s="856"/>
      <c r="T59" s="856"/>
      <c r="U59" s="856"/>
      <c r="V59" s="856"/>
      <c r="W59" s="856"/>
      <c r="X59" s="856"/>
      <c r="Y59" s="856"/>
      <c r="Z59" s="856"/>
      <c r="AA59" s="856"/>
      <c r="AB59" s="856"/>
      <c r="AC59" s="856"/>
      <c r="AD59" s="856"/>
      <c r="AE59" s="856"/>
      <c r="AF59" s="856"/>
      <c r="AG59" s="856"/>
      <c r="AH59" s="856"/>
      <c r="AI59" s="856"/>
      <c r="AJ59" s="856"/>
      <c r="AK59" s="856"/>
      <c r="AL59" s="19"/>
      <c r="AM59" s="19"/>
      <c r="AN59" s="19"/>
      <c r="AO59" s="19"/>
      <c r="AP59" s="19"/>
      <c r="AQ59" s="368"/>
      <c r="AR59" s="19"/>
      <c r="AS59" s="19"/>
      <c r="AT59" s="19"/>
      <c r="AU59" s="19"/>
      <c r="AV59" s="19"/>
      <c r="AW59" s="19"/>
      <c r="AX59" s="19"/>
      <c r="AY59" s="19"/>
    </row>
    <row r="60" spans="1:60" ht="7.9" customHeight="1" thickBot="1">
      <c r="A60" s="18"/>
      <c r="B60" s="19"/>
      <c r="C60" s="19"/>
      <c r="D60" s="19"/>
      <c r="E60" s="19"/>
      <c r="F60" s="19"/>
      <c r="G60" s="19"/>
      <c r="H60" s="19"/>
      <c r="I60" s="19"/>
      <c r="J60" s="19"/>
      <c r="K60" s="19"/>
      <c r="L60" s="19"/>
      <c r="M60" s="19"/>
      <c r="N60" s="19"/>
      <c r="O60" s="19"/>
      <c r="P60" s="19"/>
      <c r="Q60" s="19"/>
      <c r="R60" s="19"/>
      <c r="S60" s="19"/>
      <c r="T60" s="19"/>
      <c r="U60" s="19"/>
      <c r="V60" s="19"/>
      <c r="W60" s="19"/>
      <c r="X60" s="19"/>
      <c r="Y60" s="19"/>
      <c r="Z60" s="19"/>
      <c r="AA60" s="19"/>
      <c r="AB60" s="19"/>
      <c r="AC60" s="19"/>
      <c r="AD60" s="19"/>
      <c r="AE60" s="19"/>
      <c r="AF60" s="19"/>
      <c r="AG60" s="19"/>
      <c r="AH60" s="19"/>
      <c r="AI60" s="19"/>
      <c r="AJ60" s="19"/>
      <c r="AK60" s="19"/>
      <c r="AL60" s="19"/>
      <c r="AM60" s="19"/>
      <c r="AN60" s="19"/>
      <c r="AO60" s="19"/>
      <c r="AP60" s="19"/>
      <c r="AQ60" s="19"/>
      <c r="AR60" s="19"/>
      <c r="AS60" s="19"/>
      <c r="AT60" s="19"/>
      <c r="AU60" s="19"/>
      <c r="AV60" s="19"/>
      <c r="AW60" s="19"/>
      <c r="AX60" s="19"/>
      <c r="AY60" s="19"/>
    </row>
    <row r="61" spans="1:60" ht="21" customHeight="1" thickBot="1">
      <c r="A61" s="18"/>
      <c r="B61" s="372" t="s">
        <v>2525</v>
      </c>
      <c r="C61" s="373"/>
      <c r="D61" s="373"/>
      <c r="E61" s="373"/>
      <c r="F61" s="373"/>
      <c r="G61" s="373"/>
      <c r="H61" s="373"/>
      <c r="I61" s="373"/>
      <c r="J61" s="373"/>
      <c r="K61" s="373"/>
      <c r="L61" s="373"/>
      <c r="M61" s="373"/>
      <c r="N61" s="373"/>
      <c r="O61" s="373"/>
      <c r="P61" s="373"/>
      <c r="Q61" s="373"/>
      <c r="R61" s="373"/>
      <c r="S61" s="373"/>
      <c r="T61" s="373"/>
      <c r="U61" s="373"/>
      <c r="V61" s="373"/>
      <c r="W61" s="373"/>
      <c r="X61" s="373"/>
      <c r="Y61" s="373"/>
      <c r="Z61" s="373"/>
      <c r="AA61" s="373"/>
      <c r="AB61" s="373"/>
      <c r="AC61" s="373"/>
      <c r="AD61" s="373"/>
      <c r="AE61" s="373"/>
      <c r="AF61" s="373"/>
      <c r="AG61" s="373"/>
      <c r="AH61" s="133"/>
      <c r="AI61" s="871" t="str">
        <f>IF(OR(BA38-BA46&gt;0,BE38-BE46&gt;0),"該当","")</f>
        <v>該当</v>
      </c>
      <c r="AJ61" s="872"/>
      <c r="AK61" s="581" t="str">
        <f>IF(AI61="","",IF(AND(COUNTIF($E$68:$F$71,"✓")+COUNTIF($E$68:$F$71,"誓約")&gt;=1,COUNTIF($E$72:$F$75,"✓")+COUNTIF($E$72:$F$75,"誓約")&gt;=1,COUNTIF($E$76:$F$80,"✓")+COUNTIF($E$76:$F$80,"誓約")&gt;=1,COUNTIF($E$81:$F$84,"✓")+COUNTIF($E$81:$F$84,"誓約")&gt;=1,OR(COUNTIF($E$85:$F$92,"✓")+COUNTIF($E$85:$F$92,"誓約")&gt;=2,E92="✓",E92="誓約"),COUNTIF($E$93:$F$96,"✓")+COUNTIF($E$93:$F$96,"誓約")&gt;=1,COUNTIF(E68:F96,"✓")+COUNTIF(E68:F96,"誓約")&gt;=8),"○","×"))</f>
        <v>○</v>
      </c>
      <c r="AL61" s="19"/>
      <c r="AM61" s="19"/>
      <c r="AN61" s="19"/>
      <c r="AO61" s="18"/>
      <c r="AP61" s="19"/>
      <c r="AQ61" s="19"/>
      <c r="AR61" s="19"/>
      <c r="AS61" s="19"/>
      <c r="AT61" s="19"/>
      <c r="AU61" s="19"/>
      <c r="AV61" s="19"/>
      <c r="AW61" s="19"/>
      <c r="AX61" s="19"/>
      <c r="AY61" s="19"/>
    </row>
    <row r="62" spans="1:60" ht="59.45" customHeight="1">
      <c r="A62" s="18"/>
      <c r="B62" s="161" t="s">
        <v>77</v>
      </c>
      <c r="C62" s="856" t="s">
        <v>2471</v>
      </c>
      <c r="D62" s="856"/>
      <c r="E62" s="856"/>
      <c r="F62" s="856"/>
      <c r="G62" s="856"/>
      <c r="H62" s="856"/>
      <c r="I62" s="856"/>
      <c r="J62" s="856"/>
      <c r="K62" s="856"/>
      <c r="L62" s="856"/>
      <c r="M62" s="856"/>
      <c r="N62" s="856"/>
      <c r="O62" s="856"/>
      <c r="P62" s="856"/>
      <c r="Q62" s="856"/>
      <c r="R62" s="856"/>
      <c r="S62" s="856"/>
      <c r="T62" s="856"/>
      <c r="U62" s="856"/>
      <c r="V62" s="856"/>
      <c r="W62" s="856"/>
      <c r="X62" s="856"/>
      <c r="Y62" s="856"/>
      <c r="Z62" s="856"/>
      <c r="AA62" s="856"/>
      <c r="AB62" s="856"/>
      <c r="AC62" s="856"/>
      <c r="AD62" s="856"/>
      <c r="AE62" s="856"/>
      <c r="AF62" s="856"/>
      <c r="AG62" s="856"/>
      <c r="AH62" s="856"/>
      <c r="AI62" s="856"/>
      <c r="AJ62" s="856"/>
      <c r="AK62" s="856"/>
      <c r="AL62" s="19"/>
      <c r="AM62" s="19"/>
      <c r="AN62" s="19"/>
      <c r="AO62" s="19"/>
      <c r="AP62" s="19"/>
      <c r="AQ62" s="19"/>
      <c r="AR62" s="19"/>
      <c r="AS62" s="19"/>
      <c r="AT62" s="19"/>
      <c r="AU62" s="19"/>
      <c r="AV62" s="19"/>
      <c r="AW62" s="19"/>
      <c r="AX62" s="19"/>
      <c r="AY62" s="19"/>
    </row>
    <row r="63" spans="1:60" ht="9.9499999999999993" customHeight="1" thickBot="1">
      <c r="A63" s="18"/>
      <c r="B63" s="161"/>
      <c r="C63" s="592"/>
      <c r="D63" s="592"/>
      <c r="E63" s="592"/>
      <c r="F63" s="592"/>
      <c r="G63" s="592"/>
      <c r="H63" s="592"/>
      <c r="I63" s="592"/>
      <c r="J63" s="592"/>
      <c r="K63" s="592"/>
      <c r="L63" s="592"/>
      <c r="M63" s="592"/>
      <c r="N63" s="592"/>
      <c r="O63" s="592"/>
      <c r="P63" s="592"/>
      <c r="Q63" s="592"/>
      <c r="R63" s="592"/>
      <c r="S63" s="592"/>
      <c r="T63" s="592"/>
      <c r="U63" s="592"/>
      <c r="V63" s="592"/>
      <c r="W63" s="592"/>
      <c r="X63" s="592"/>
      <c r="Y63" s="592"/>
      <c r="Z63" s="592"/>
      <c r="AA63" s="592"/>
      <c r="AB63" s="592"/>
      <c r="AC63" s="592"/>
      <c r="AD63" s="592"/>
      <c r="AE63" s="592"/>
      <c r="AF63" s="592"/>
      <c r="AG63" s="592"/>
      <c r="AH63" s="592"/>
      <c r="AI63" s="592"/>
      <c r="AJ63" s="592"/>
      <c r="AK63" s="592"/>
      <c r="AL63" s="19"/>
      <c r="AM63" s="19"/>
      <c r="AN63" s="19"/>
      <c r="AO63" s="19"/>
      <c r="AP63" s="19"/>
      <c r="AQ63" s="19"/>
      <c r="AR63" s="19"/>
      <c r="AS63" s="19"/>
      <c r="AT63" s="19"/>
      <c r="AU63" s="19"/>
      <c r="AV63" s="19"/>
      <c r="AW63" s="19"/>
      <c r="AX63" s="19"/>
      <c r="AY63" s="19"/>
    </row>
    <row r="64" spans="1:60" ht="21" customHeight="1" thickBot="1">
      <c r="A64" s="18"/>
      <c r="B64" s="595" t="s">
        <v>2503</v>
      </c>
      <c r="C64" s="592"/>
      <c r="D64" s="592"/>
      <c r="E64" s="592"/>
      <c r="F64" s="592"/>
      <c r="G64" s="592"/>
      <c r="H64" s="592"/>
      <c r="I64" s="592"/>
      <c r="J64" s="592"/>
      <c r="K64" s="592"/>
      <c r="L64" s="592"/>
      <c r="M64" s="592"/>
      <c r="N64" s="592"/>
      <c r="O64" s="592"/>
      <c r="P64" s="592"/>
      <c r="Q64" s="592"/>
      <c r="R64" s="592"/>
      <c r="S64" s="592"/>
      <c r="T64" s="592"/>
      <c r="U64" s="592"/>
      <c r="V64" s="592"/>
      <c r="W64" s="592"/>
      <c r="X64" s="592"/>
      <c r="Y64" s="592"/>
      <c r="Z64" s="592"/>
      <c r="AA64" s="592"/>
      <c r="AB64" s="592"/>
      <c r="AC64" s="592"/>
      <c r="AD64" s="592"/>
      <c r="AE64" s="592"/>
      <c r="AF64" s="592"/>
      <c r="AG64" s="592"/>
      <c r="AH64" s="592"/>
      <c r="AI64" s="871" t="str">
        <f>IF(BI38&gt;0,"該当","")</f>
        <v>該当</v>
      </c>
      <c r="AJ64" s="872"/>
      <c r="AK64" s="581" t="str">
        <f>IF(AI64="","",IF(AND(COUNTIF($E$68:$F$71,"✓")+COUNTIF($E$68:$F$71,"誓約")&gt;=1,COUNTIF($E$72:$F$75,"✓")+COUNTIF($E$72:$F$75,"誓約")&gt;=1,COUNTIF($E$76:$F$80,"✓")+COUNTIF($E$76:$F$80,"誓約")&gt;=1,COUNTIF($E$81:$F$84,"✓")+COUNTIF($E$81:$F$84,"誓約")&gt;=1,OR(COUNTIF($E$85:$F$91,"✓")+COUNTIF($E$85:$F$91,"誓約")&gt;=2,E92="✓",E92="誓約"),COUNTIF($E$93:$F$96,"✓")+COUNTIF($E$93:$F$96,"誓約")&gt;=1),"○","×"))</f>
        <v>○</v>
      </c>
      <c r="AL64" s="19"/>
      <c r="AM64" s="19"/>
      <c r="AN64" s="19"/>
      <c r="AO64" s="19"/>
      <c r="AP64" s="19"/>
      <c r="AQ64" s="19"/>
      <c r="AR64" s="19"/>
      <c r="AS64" s="19"/>
      <c r="AT64" s="19"/>
      <c r="AU64" s="19"/>
      <c r="AV64" s="19"/>
      <c r="AW64" s="19"/>
      <c r="AX64" s="19"/>
      <c r="AY64" s="19"/>
    </row>
    <row r="65" spans="1:53" ht="59.45" customHeight="1">
      <c r="A65" s="18"/>
      <c r="B65" s="161" t="s">
        <v>77</v>
      </c>
      <c r="C65" s="856" t="s">
        <v>2504</v>
      </c>
      <c r="D65" s="856"/>
      <c r="E65" s="856"/>
      <c r="F65" s="856"/>
      <c r="G65" s="856"/>
      <c r="H65" s="856"/>
      <c r="I65" s="856"/>
      <c r="J65" s="856"/>
      <c r="K65" s="856"/>
      <c r="L65" s="856"/>
      <c r="M65" s="856"/>
      <c r="N65" s="856"/>
      <c r="O65" s="856"/>
      <c r="P65" s="856"/>
      <c r="Q65" s="856"/>
      <c r="R65" s="856"/>
      <c r="S65" s="856"/>
      <c r="T65" s="856"/>
      <c r="U65" s="856"/>
      <c r="V65" s="856"/>
      <c r="W65" s="856"/>
      <c r="X65" s="856"/>
      <c r="Y65" s="856"/>
      <c r="Z65" s="856"/>
      <c r="AA65" s="856"/>
      <c r="AB65" s="856"/>
      <c r="AC65" s="856"/>
      <c r="AD65" s="856"/>
      <c r="AE65" s="856"/>
      <c r="AF65" s="856"/>
      <c r="AG65" s="856"/>
      <c r="AH65" s="856"/>
      <c r="AI65" s="856"/>
      <c r="AJ65" s="856"/>
      <c r="AK65" s="856"/>
      <c r="AL65" s="19"/>
      <c r="AM65" s="19"/>
      <c r="AN65" s="19"/>
      <c r="AO65" s="19"/>
      <c r="AP65" s="19"/>
      <c r="AQ65" s="19"/>
      <c r="AR65" s="19"/>
      <c r="AS65" s="19"/>
      <c r="AT65" s="19"/>
      <c r="AU65" s="19"/>
      <c r="AV65" s="19"/>
      <c r="AW65" s="19"/>
      <c r="AX65" s="19"/>
      <c r="AY65" s="19"/>
    </row>
    <row r="66" spans="1:53" ht="7.9" customHeight="1">
      <c r="A66" s="18"/>
      <c r="B66" s="162"/>
      <c r="C66" s="162"/>
      <c r="D66" s="162"/>
      <c r="E66" s="162"/>
      <c r="F66" s="162"/>
      <c r="G66" s="162"/>
      <c r="H66" s="162"/>
      <c r="I66" s="162"/>
      <c r="J66" s="162"/>
      <c r="K66" s="162"/>
      <c r="L66" s="162"/>
      <c r="M66" s="162"/>
      <c r="N66" s="162"/>
      <c r="O66" s="162"/>
      <c r="P66" s="162"/>
      <c r="Q66" s="162"/>
      <c r="R66" s="162"/>
      <c r="S66" s="162"/>
      <c r="T66" s="162"/>
      <c r="U66" s="162"/>
      <c r="V66" s="162"/>
      <c r="W66" s="162"/>
      <c r="X66" s="162"/>
      <c r="Y66" s="162"/>
      <c r="Z66" s="162"/>
      <c r="AA66" s="162"/>
      <c r="AB66" s="162"/>
      <c r="AC66" s="162"/>
      <c r="AD66" s="162"/>
      <c r="AE66" s="162"/>
      <c r="AF66" s="162"/>
      <c r="AG66" s="162"/>
      <c r="AH66" s="162"/>
      <c r="AI66" s="162"/>
      <c r="AJ66" s="162"/>
      <c r="AK66" s="162"/>
      <c r="AL66" s="19"/>
      <c r="AM66" s="19"/>
      <c r="AN66" s="19"/>
      <c r="AO66" s="19"/>
      <c r="AP66" s="19"/>
      <c r="AQ66" s="19"/>
      <c r="AR66" s="19"/>
      <c r="AS66" s="19"/>
      <c r="AT66" s="19"/>
      <c r="AU66" s="19"/>
      <c r="AV66" s="19"/>
      <c r="AW66" s="19"/>
      <c r="AX66" s="19"/>
      <c r="AY66" s="19"/>
    </row>
    <row r="67" spans="1:53" ht="19.899999999999999" customHeight="1" thickBot="1">
      <c r="A67" s="18"/>
      <c r="B67" s="857" t="s">
        <v>78</v>
      </c>
      <c r="C67" s="858"/>
      <c r="D67" s="859"/>
      <c r="E67" s="860" t="s">
        <v>79</v>
      </c>
      <c r="F67" s="861"/>
      <c r="G67" s="861"/>
      <c r="H67" s="861"/>
      <c r="I67" s="861"/>
      <c r="J67" s="861"/>
      <c r="K67" s="861"/>
      <c r="L67" s="861"/>
      <c r="M67" s="861"/>
      <c r="N67" s="861"/>
      <c r="O67" s="861"/>
      <c r="P67" s="861"/>
      <c r="Q67" s="861"/>
      <c r="R67" s="861"/>
      <c r="S67" s="861"/>
      <c r="T67" s="861"/>
      <c r="U67" s="861"/>
      <c r="V67" s="861"/>
      <c r="W67" s="861"/>
      <c r="X67" s="861"/>
      <c r="Y67" s="861"/>
      <c r="Z67" s="861"/>
      <c r="AA67" s="861"/>
      <c r="AB67" s="861"/>
      <c r="AC67" s="861"/>
      <c r="AD67" s="861"/>
      <c r="AE67" s="861"/>
      <c r="AF67" s="861"/>
      <c r="AG67" s="861"/>
      <c r="AH67" s="861"/>
      <c r="AI67" s="861"/>
      <c r="AJ67" s="861"/>
      <c r="AK67" s="862"/>
      <c r="AL67" s="19"/>
      <c r="AM67" s="18"/>
      <c r="AN67" s="542"/>
      <c r="AO67" s="542"/>
      <c r="AP67" s="542"/>
      <c r="AQ67" s="542"/>
      <c r="AR67" s="542"/>
      <c r="AS67" s="542"/>
      <c r="AT67" s="542"/>
      <c r="AU67" s="542"/>
      <c r="AV67" s="542"/>
      <c r="AW67" s="542"/>
      <c r="AX67" s="542"/>
      <c r="AY67" s="542"/>
      <c r="AZ67" s="54"/>
      <c r="BA67" s="163" t="s">
        <v>80</v>
      </c>
    </row>
    <row r="68" spans="1:53" ht="15.6" customHeight="1">
      <c r="A68" s="18"/>
      <c r="B68" s="688" t="s">
        <v>81</v>
      </c>
      <c r="C68" s="689"/>
      <c r="D68" s="689"/>
      <c r="E68" s="840" t="s">
        <v>267</v>
      </c>
      <c r="F68" s="841"/>
      <c r="G68" s="825" t="s">
        <v>2248</v>
      </c>
      <c r="H68" s="826"/>
      <c r="I68" s="826"/>
      <c r="J68" s="826"/>
      <c r="K68" s="826"/>
      <c r="L68" s="826"/>
      <c r="M68" s="826"/>
      <c r="N68" s="826"/>
      <c r="O68" s="826"/>
      <c r="P68" s="826"/>
      <c r="Q68" s="826"/>
      <c r="R68" s="826"/>
      <c r="S68" s="826"/>
      <c r="T68" s="826"/>
      <c r="U68" s="826"/>
      <c r="V68" s="826"/>
      <c r="W68" s="826"/>
      <c r="X68" s="826"/>
      <c r="Y68" s="826"/>
      <c r="Z68" s="826"/>
      <c r="AA68" s="826"/>
      <c r="AB68" s="826"/>
      <c r="AC68" s="826"/>
      <c r="AD68" s="826"/>
      <c r="AE68" s="826"/>
      <c r="AF68" s="826"/>
      <c r="AG68" s="826"/>
      <c r="AH68" s="826"/>
      <c r="AI68" s="826"/>
      <c r="AJ68" s="826"/>
      <c r="AK68" s="827"/>
      <c r="AL68" s="19"/>
      <c r="AM68" s="816" t="str">
        <f>IF(AI58="該当", "！この区分（４項目）から２つ以上の取組が選択されていません。",  "！この区分（４項目）から１つ以上の取組が選択されていません。")</f>
        <v>！この区分（４項目）から２つ以上の取組が選択されていません。</v>
      </c>
      <c r="AN68" s="817"/>
      <c r="AO68" s="817"/>
      <c r="AP68" s="817"/>
      <c r="AQ68" s="817"/>
      <c r="AR68" s="817"/>
      <c r="AS68" s="817"/>
      <c r="AT68" s="817"/>
      <c r="AU68" s="817"/>
      <c r="AV68" s="817"/>
      <c r="AW68" s="817"/>
      <c r="AX68" s="818"/>
      <c r="AY68" s="19"/>
      <c r="AZ68" s="13"/>
      <c r="BA68" s="822">
        <f>COUNTIF(E68:F71, "✓")+COUNTIF(E68:F71, "誓約")</f>
        <v>2</v>
      </c>
    </row>
    <row r="69" spans="1:53" ht="15" customHeight="1" thickBot="1">
      <c r="A69" s="18"/>
      <c r="B69" s="691"/>
      <c r="C69" s="692"/>
      <c r="D69" s="692"/>
      <c r="E69" s="823"/>
      <c r="F69" s="824"/>
      <c r="G69" s="825" t="s">
        <v>82</v>
      </c>
      <c r="H69" s="826"/>
      <c r="I69" s="826"/>
      <c r="J69" s="826"/>
      <c r="K69" s="826"/>
      <c r="L69" s="826"/>
      <c r="M69" s="826"/>
      <c r="N69" s="826"/>
      <c r="O69" s="826"/>
      <c r="P69" s="826"/>
      <c r="Q69" s="826"/>
      <c r="R69" s="826"/>
      <c r="S69" s="826"/>
      <c r="T69" s="826"/>
      <c r="U69" s="826"/>
      <c r="V69" s="826"/>
      <c r="W69" s="826"/>
      <c r="X69" s="826"/>
      <c r="Y69" s="826"/>
      <c r="Z69" s="826"/>
      <c r="AA69" s="826"/>
      <c r="AB69" s="826"/>
      <c r="AC69" s="826"/>
      <c r="AD69" s="826"/>
      <c r="AE69" s="826"/>
      <c r="AF69" s="826"/>
      <c r="AG69" s="826"/>
      <c r="AH69" s="826"/>
      <c r="AI69" s="826"/>
      <c r="AJ69" s="826"/>
      <c r="AK69" s="827"/>
      <c r="AL69" s="19"/>
      <c r="AM69" s="819"/>
      <c r="AN69" s="820"/>
      <c r="AO69" s="820"/>
      <c r="AP69" s="820"/>
      <c r="AQ69" s="820"/>
      <c r="AR69" s="820"/>
      <c r="AS69" s="820"/>
      <c r="AT69" s="820"/>
      <c r="AU69" s="820"/>
      <c r="AV69" s="820"/>
      <c r="AW69" s="820"/>
      <c r="AX69" s="821"/>
      <c r="AY69" s="158"/>
      <c r="AZ69" s="164"/>
      <c r="BA69" s="822"/>
    </row>
    <row r="70" spans="1:53" ht="24.6" customHeight="1">
      <c r="A70" s="18"/>
      <c r="B70" s="691"/>
      <c r="C70" s="692"/>
      <c r="D70" s="692"/>
      <c r="E70" s="823" t="s">
        <v>30</v>
      </c>
      <c r="F70" s="824"/>
      <c r="G70" s="825" t="s">
        <v>2249</v>
      </c>
      <c r="H70" s="826"/>
      <c r="I70" s="826"/>
      <c r="J70" s="826"/>
      <c r="K70" s="826"/>
      <c r="L70" s="826"/>
      <c r="M70" s="826"/>
      <c r="N70" s="826"/>
      <c r="O70" s="826"/>
      <c r="P70" s="826"/>
      <c r="Q70" s="826"/>
      <c r="R70" s="826"/>
      <c r="S70" s="826"/>
      <c r="T70" s="826"/>
      <c r="U70" s="826"/>
      <c r="V70" s="826"/>
      <c r="W70" s="826"/>
      <c r="X70" s="826"/>
      <c r="Y70" s="826"/>
      <c r="Z70" s="826"/>
      <c r="AA70" s="826"/>
      <c r="AB70" s="826"/>
      <c r="AC70" s="826"/>
      <c r="AD70" s="826"/>
      <c r="AE70" s="826"/>
      <c r="AF70" s="826"/>
      <c r="AG70" s="826"/>
      <c r="AH70" s="826"/>
      <c r="AI70" s="826"/>
      <c r="AJ70" s="826"/>
      <c r="AK70" s="827"/>
      <c r="AL70" s="19"/>
      <c r="AM70" s="158"/>
      <c r="AN70" s="158"/>
      <c r="AO70" s="158"/>
      <c r="AP70" s="158"/>
      <c r="AQ70" s="158"/>
      <c r="AR70" s="158"/>
      <c r="AS70" s="158"/>
      <c r="AT70" s="158"/>
      <c r="AU70" s="158"/>
      <c r="AV70" s="158"/>
      <c r="AW70" s="158"/>
      <c r="AX70" s="158"/>
      <c r="AY70" s="158"/>
      <c r="AZ70" s="164"/>
      <c r="BA70" s="822"/>
    </row>
    <row r="71" spans="1:53" ht="15" customHeight="1" thickBot="1">
      <c r="A71" s="18"/>
      <c r="B71" s="837"/>
      <c r="C71" s="838"/>
      <c r="D71" s="838"/>
      <c r="E71" s="854"/>
      <c r="F71" s="855"/>
      <c r="G71" s="825" t="s">
        <v>2250</v>
      </c>
      <c r="H71" s="826"/>
      <c r="I71" s="826"/>
      <c r="J71" s="826"/>
      <c r="K71" s="826"/>
      <c r="L71" s="826"/>
      <c r="M71" s="826"/>
      <c r="N71" s="826"/>
      <c r="O71" s="826"/>
      <c r="P71" s="826"/>
      <c r="Q71" s="826"/>
      <c r="R71" s="826"/>
      <c r="S71" s="826"/>
      <c r="T71" s="826"/>
      <c r="U71" s="826"/>
      <c r="V71" s="826"/>
      <c r="W71" s="826"/>
      <c r="X71" s="826"/>
      <c r="Y71" s="826"/>
      <c r="Z71" s="826"/>
      <c r="AA71" s="826"/>
      <c r="AB71" s="826"/>
      <c r="AC71" s="826"/>
      <c r="AD71" s="826"/>
      <c r="AE71" s="826"/>
      <c r="AF71" s="826"/>
      <c r="AG71" s="826"/>
      <c r="AH71" s="826"/>
      <c r="AI71" s="826"/>
      <c r="AJ71" s="826"/>
      <c r="AK71" s="827"/>
      <c r="AL71" s="19"/>
      <c r="AM71" s="535"/>
      <c r="AN71" s="535"/>
      <c r="AO71" s="535"/>
      <c r="AP71" s="535"/>
      <c r="AQ71" s="535"/>
      <c r="AR71" s="535"/>
      <c r="AS71" s="535"/>
      <c r="AT71" s="535"/>
      <c r="AU71" s="535"/>
      <c r="AV71" s="535"/>
      <c r="AW71" s="535"/>
      <c r="AX71" s="535"/>
      <c r="AY71" s="19"/>
      <c r="AZ71" s="13"/>
      <c r="BA71" s="822"/>
    </row>
    <row r="72" spans="1:53" ht="39.6" customHeight="1">
      <c r="A72" s="18"/>
      <c r="B72" s="688" t="s">
        <v>83</v>
      </c>
      <c r="C72" s="689"/>
      <c r="D72" s="689"/>
      <c r="E72" s="840" t="s">
        <v>30</v>
      </c>
      <c r="F72" s="841"/>
      <c r="G72" s="825" t="s">
        <v>2251</v>
      </c>
      <c r="H72" s="826"/>
      <c r="I72" s="826"/>
      <c r="J72" s="826"/>
      <c r="K72" s="826"/>
      <c r="L72" s="826"/>
      <c r="M72" s="826"/>
      <c r="N72" s="826"/>
      <c r="O72" s="826"/>
      <c r="P72" s="826"/>
      <c r="Q72" s="826"/>
      <c r="R72" s="826"/>
      <c r="S72" s="826"/>
      <c r="T72" s="826"/>
      <c r="U72" s="826"/>
      <c r="V72" s="826"/>
      <c r="W72" s="826"/>
      <c r="X72" s="826"/>
      <c r="Y72" s="826"/>
      <c r="Z72" s="826"/>
      <c r="AA72" s="826"/>
      <c r="AB72" s="826"/>
      <c r="AC72" s="826"/>
      <c r="AD72" s="826"/>
      <c r="AE72" s="826"/>
      <c r="AF72" s="826"/>
      <c r="AG72" s="826"/>
      <c r="AH72" s="826"/>
      <c r="AI72" s="826"/>
      <c r="AJ72" s="826"/>
      <c r="AK72" s="827"/>
      <c r="AL72" s="19"/>
      <c r="AM72" s="816" t="str">
        <f>IF(AI58="該当", "！この区分（４項目）から２つ以上の取組が選択されていません。",  "！この区分（４項目）から１つ以上の取組が選択されていません。")</f>
        <v>！この区分（４項目）から２つ以上の取組が選択されていません。</v>
      </c>
      <c r="AN72" s="817"/>
      <c r="AO72" s="817"/>
      <c r="AP72" s="817"/>
      <c r="AQ72" s="817"/>
      <c r="AR72" s="817"/>
      <c r="AS72" s="817"/>
      <c r="AT72" s="817"/>
      <c r="AU72" s="817"/>
      <c r="AV72" s="817"/>
      <c r="AW72" s="817"/>
      <c r="AX72" s="818"/>
      <c r="AY72" s="19"/>
      <c r="AZ72" s="13"/>
      <c r="BA72" s="822">
        <f>COUNTIF(E72:F75, "✓")+COUNTIF(E72:F75, "誓約")</f>
        <v>2</v>
      </c>
    </row>
    <row r="73" spans="1:53" ht="15" customHeight="1" thickBot="1">
      <c r="A73" s="18"/>
      <c r="B73" s="691"/>
      <c r="C73" s="692"/>
      <c r="D73" s="692"/>
      <c r="E73" s="823" t="s">
        <v>30</v>
      </c>
      <c r="F73" s="824"/>
      <c r="G73" s="825" t="s">
        <v>2252</v>
      </c>
      <c r="H73" s="826"/>
      <c r="I73" s="826"/>
      <c r="J73" s="826"/>
      <c r="K73" s="826"/>
      <c r="L73" s="826"/>
      <c r="M73" s="826"/>
      <c r="N73" s="826"/>
      <c r="O73" s="826"/>
      <c r="P73" s="826"/>
      <c r="Q73" s="826"/>
      <c r="R73" s="826"/>
      <c r="S73" s="826"/>
      <c r="T73" s="826"/>
      <c r="U73" s="826"/>
      <c r="V73" s="826"/>
      <c r="W73" s="826"/>
      <c r="X73" s="826"/>
      <c r="Y73" s="826"/>
      <c r="Z73" s="826"/>
      <c r="AA73" s="826"/>
      <c r="AB73" s="826"/>
      <c r="AC73" s="826"/>
      <c r="AD73" s="826"/>
      <c r="AE73" s="826"/>
      <c r="AF73" s="826"/>
      <c r="AG73" s="826"/>
      <c r="AH73" s="826"/>
      <c r="AI73" s="826"/>
      <c r="AJ73" s="826"/>
      <c r="AK73" s="827"/>
      <c r="AL73" s="19"/>
      <c r="AM73" s="819"/>
      <c r="AN73" s="820"/>
      <c r="AO73" s="820"/>
      <c r="AP73" s="820"/>
      <c r="AQ73" s="820"/>
      <c r="AR73" s="820"/>
      <c r="AS73" s="820"/>
      <c r="AT73" s="820"/>
      <c r="AU73" s="820"/>
      <c r="AV73" s="820"/>
      <c r="AW73" s="820"/>
      <c r="AX73" s="821"/>
      <c r="AY73" s="158"/>
      <c r="AZ73" s="164"/>
      <c r="BA73" s="822"/>
    </row>
    <row r="74" spans="1:53" ht="15" customHeight="1">
      <c r="A74" s="18"/>
      <c r="B74" s="691"/>
      <c r="C74" s="692"/>
      <c r="D74" s="692"/>
      <c r="E74" s="852"/>
      <c r="F74" s="853"/>
      <c r="G74" s="825" t="s">
        <v>84</v>
      </c>
      <c r="H74" s="826"/>
      <c r="I74" s="826"/>
      <c r="J74" s="826"/>
      <c r="K74" s="826"/>
      <c r="L74" s="826"/>
      <c r="M74" s="826"/>
      <c r="N74" s="826"/>
      <c r="O74" s="826"/>
      <c r="P74" s="826"/>
      <c r="Q74" s="826"/>
      <c r="R74" s="826"/>
      <c r="S74" s="826"/>
      <c r="T74" s="826"/>
      <c r="U74" s="826"/>
      <c r="V74" s="826"/>
      <c r="W74" s="826"/>
      <c r="X74" s="826"/>
      <c r="Y74" s="826"/>
      <c r="Z74" s="826"/>
      <c r="AA74" s="826"/>
      <c r="AB74" s="826"/>
      <c r="AC74" s="826"/>
      <c r="AD74" s="826"/>
      <c r="AE74" s="826"/>
      <c r="AF74" s="826"/>
      <c r="AG74" s="826"/>
      <c r="AH74" s="826"/>
      <c r="AI74" s="826"/>
      <c r="AJ74" s="826"/>
      <c r="AK74" s="827"/>
      <c r="AL74" s="19"/>
      <c r="AM74" s="534"/>
      <c r="AN74" s="158"/>
      <c r="AO74" s="158"/>
      <c r="AP74" s="158"/>
      <c r="AQ74" s="158"/>
      <c r="AR74" s="158"/>
      <c r="AS74" s="158"/>
      <c r="AT74" s="158"/>
      <c r="AU74" s="158"/>
      <c r="AV74" s="158"/>
      <c r="AW74" s="158"/>
      <c r="AX74" s="158"/>
      <c r="AY74" s="158"/>
      <c r="AZ74" s="164"/>
      <c r="BA74" s="822"/>
    </row>
    <row r="75" spans="1:53" ht="15" customHeight="1" thickBot="1">
      <c r="A75" s="18"/>
      <c r="B75" s="837"/>
      <c r="C75" s="838"/>
      <c r="D75" s="838"/>
      <c r="E75" s="846"/>
      <c r="F75" s="847"/>
      <c r="G75" s="825" t="s">
        <v>85</v>
      </c>
      <c r="H75" s="826"/>
      <c r="I75" s="826"/>
      <c r="J75" s="826"/>
      <c r="K75" s="826"/>
      <c r="L75" s="826"/>
      <c r="M75" s="826"/>
      <c r="N75" s="826"/>
      <c r="O75" s="826"/>
      <c r="P75" s="826"/>
      <c r="Q75" s="826"/>
      <c r="R75" s="826"/>
      <c r="S75" s="826"/>
      <c r="T75" s="826"/>
      <c r="U75" s="826"/>
      <c r="V75" s="826"/>
      <c r="W75" s="826"/>
      <c r="X75" s="826"/>
      <c r="Y75" s="826"/>
      <c r="Z75" s="826"/>
      <c r="AA75" s="826"/>
      <c r="AB75" s="826"/>
      <c r="AC75" s="826"/>
      <c r="AD75" s="826"/>
      <c r="AE75" s="826"/>
      <c r="AF75" s="826"/>
      <c r="AG75" s="826"/>
      <c r="AH75" s="826"/>
      <c r="AI75" s="826"/>
      <c r="AJ75" s="826"/>
      <c r="AK75" s="827"/>
      <c r="AL75" s="19"/>
      <c r="AM75" s="535"/>
      <c r="AN75" s="535"/>
      <c r="AO75" s="535"/>
      <c r="AP75" s="535"/>
      <c r="AQ75" s="535"/>
      <c r="AR75" s="535"/>
      <c r="AS75" s="535"/>
      <c r="AT75" s="535"/>
      <c r="AU75" s="535"/>
      <c r="AV75" s="535"/>
      <c r="AW75" s="535"/>
      <c r="AX75" s="535"/>
      <c r="AY75" s="19"/>
      <c r="AZ75" s="13"/>
      <c r="BA75" s="822"/>
    </row>
    <row r="76" spans="1:53" ht="15" customHeight="1">
      <c r="A76" s="18"/>
      <c r="B76" s="688" t="s">
        <v>86</v>
      </c>
      <c r="C76" s="689"/>
      <c r="D76" s="834"/>
      <c r="E76" s="840"/>
      <c r="F76" s="841"/>
      <c r="G76" s="825" t="s">
        <v>2253</v>
      </c>
      <c r="H76" s="826"/>
      <c r="I76" s="826"/>
      <c r="J76" s="826"/>
      <c r="K76" s="826"/>
      <c r="L76" s="826"/>
      <c r="M76" s="826"/>
      <c r="N76" s="826"/>
      <c r="O76" s="826"/>
      <c r="P76" s="826"/>
      <c r="Q76" s="826"/>
      <c r="R76" s="826"/>
      <c r="S76" s="826"/>
      <c r="T76" s="826"/>
      <c r="U76" s="826"/>
      <c r="V76" s="826"/>
      <c r="W76" s="826"/>
      <c r="X76" s="826"/>
      <c r="Y76" s="826"/>
      <c r="Z76" s="826"/>
      <c r="AA76" s="826"/>
      <c r="AB76" s="826"/>
      <c r="AC76" s="826"/>
      <c r="AD76" s="826"/>
      <c r="AE76" s="826"/>
      <c r="AF76" s="826"/>
      <c r="AG76" s="826"/>
      <c r="AH76" s="826"/>
      <c r="AI76" s="826"/>
      <c r="AJ76" s="826"/>
      <c r="AK76" s="827"/>
      <c r="AL76" s="19"/>
      <c r="AM76" s="816" t="str">
        <f>IF(AI58="該当", "！この区分（４項目）から２つ以上の取組が選択されていません。",  "！この区分（４項目）から１つ以上の取組が選択されていません。")</f>
        <v>！この区分（４項目）から２つ以上の取組が選択されていません。</v>
      </c>
      <c r="AN76" s="817"/>
      <c r="AO76" s="817"/>
      <c r="AP76" s="817"/>
      <c r="AQ76" s="817"/>
      <c r="AR76" s="817"/>
      <c r="AS76" s="817"/>
      <c r="AT76" s="817"/>
      <c r="AU76" s="817"/>
      <c r="AV76" s="817"/>
      <c r="AW76" s="817"/>
      <c r="AX76" s="818"/>
      <c r="AY76" s="19"/>
      <c r="AZ76" s="13"/>
      <c r="BA76" s="822">
        <f>COUNTIF(E76:F80, "✓")+COUNTIF(E76:F80, "誓約")</f>
        <v>2</v>
      </c>
    </row>
    <row r="77" spans="1:53" ht="28.15" customHeight="1" thickBot="1">
      <c r="A77" s="18"/>
      <c r="B77" s="691"/>
      <c r="C77" s="835"/>
      <c r="D77" s="836"/>
      <c r="E77" s="823" t="s">
        <v>30</v>
      </c>
      <c r="F77" s="824"/>
      <c r="G77" s="825" t="s">
        <v>87</v>
      </c>
      <c r="H77" s="826"/>
      <c r="I77" s="826"/>
      <c r="J77" s="826"/>
      <c r="K77" s="826"/>
      <c r="L77" s="826"/>
      <c r="M77" s="826"/>
      <c r="N77" s="826"/>
      <c r="O77" s="826"/>
      <c r="P77" s="826"/>
      <c r="Q77" s="826"/>
      <c r="R77" s="826"/>
      <c r="S77" s="826"/>
      <c r="T77" s="826"/>
      <c r="U77" s="826"/>
      <c r="V77" s="826"/>
      <c r="W77" s="826"/>
      <c r="X77" s="826"/>
      <c r="Y77" s="826"/>
      <c r="Z77" s="826"/>
      <c r="AA77" s="826"/>
      <c r="AB77" s="826"/>
      <c r="AC77" s="826"/>
      <c r="AD77" s="826"/>
      <c r="AE77" s="826"/>
      <c r="AF77" s="826"/>
      <c r="AG77" s="826"/>
      <c r="AH77" s="826"/>
      <c r="AI77" s="826"/>
      <c r="AJ77" s="826"/>
      <c r="AK77" s="827"/>
      <c r="AL77" s="19"/>
      <c r="AM77" s="819"/>
      <c r="AN77" s="820"/>
      <c r="AO77" s="820"/>
      <c r="AP77" s="820"/>
      <c r="AQ77" s="820"/>
      <c r="AR77" s="820"/>
      <c r="AS77" s="820"/>
      <c r="AT77" s="820"/>
      <c r="AU77" s="820"/>
      <c r="AV77" s="820"/>
      <c r="AW77" s="820"/>
      <c r="AX77" s="821"/>
      <c r="AY77" s="158"/>
      <c r="AZ77" s="164"/>
      <c r="BA77" s="822"/>
    </row>
    <row r="78" spans="1:53" ht="45.6" customHeight="1">
      <c r="A78" s="18"/>
      <c r="B78" s="691"/>
      <c r="C78" s="835"/>
      <c r="D78" s="836"/>
      <c r="E78" s="823"/>
      <c r="F78" s="824"/>
      <c r="G78" s="825" t="s">
        <v>2254</v>
      </c>
      <c r="H78" s="826"/>
      <c r="I78" s="826"/>
      <c r="J78" s="826"/>
      <c r="K78" s="826"/>
      <c r="L78" s="826"/>
      <c r="M78" s="826"/>
      <c r="N78" s="826"/>
      <c r="O78" s="826"/>
      <c r="P78" s="826"/>
      <c r="Q78" s="826"/>
      <c r="R78" s="826"/>
      <c r="S78" s="826"/>
      <c r="T78" s="826"/>
      <c r="U78" s="826"/>
      <c r="V78" s="826"/>
      <c r="W78" s="826"/>
      <c r="X78" s="826"/>
      <c r="Y78" s="826"/>
      <c r="Z78" s="826"/>
      <c r="AA78" s="826"/>
      <c r="AB78" s="826"/>
      <c r="AC78" s="826"/>
      <c r="AD78" s="826"/>
      <c r="AE78" s="826"/>
      <c r="AF78" s="826"/>
      <c r="AG78" s="826"/>
      <c r="AH78" s="826"/>
      <c r="AI78" s="826"/>
      <c r="AJ78" s="826"/>
      <c r="AK78" s="827"/>
      <c r="AL78" s="19"/>
      <c r="AM78" s="158"/>
      <c r="AN78" s="158"/>
      <c r="AO78" s="158"/>
      <c r="AP78" s="158"/>
      <c r="AQ78" s="158"/>
      <c r="AR78" s="158"/>
      <c r="AS78" s="158"/>
      <c r="AT78" s="158"/>
      <c r="AU78" s="158"/>
      <c r="AV78" s="158"/>
      <c r="AW78" s="158"/>
      <c r="AX78" s="158"/>
      <c r="AY78" s="158"/>
      <c r="AZ78" s="164"/>
      <c r="BA78" s="822"/>
    </row>
    <row r="79" spans="1:53" ht="27" customHeight="1" thickBot="1">
      <c r="A79" s="18"/>
      <c r="B79" s="691"/>
      <c r="C79" s="835"/>
      <c r="D79" s="836"/>
      <c r="E79" s="846" t="s">
        <v>30</v>
      </c>
      <c r="F79" s="847"/>
      <c r="G79" s="825" t="s">
        <v>2255</v>
      </c>
      <c r="H79" s="826"/>
      <c r="I79" s="826"/>
      <c r="J79" s="826"/>
      <c r="K79" s="826"/>
      <c r="L79" s="826"/>
      <c r="M79" s="826"/>
      <c r="N79" s="826"/>
      <c r="O79" s="826"/>
      <c r="P79" s="826"/>
      <c r="Q79" s="826"/>
      <c r="R79" s="826"/>
      <c r="S79" s="826"/>
      <c r="T79" s="826"/>
      <c r="U79" s="826"/>
      <c r="V79" s="826"/>
      <c r="W79" s="826"/>
      <c r="X79" s="826"/>
      <c r="Y79" s="826"/>
      <c r="Z79" s="826"/>
      <c r="AA79" s="826"/>
      <c r="AB79" s="826"/>
      <c r="AC79" s="826"/>
      <c r="AD79" s="826"/>
      <c r="AE79" s="826"/>
      <c r="AF79" s="826"/>
      <c r="AG79" s="826"/>
      <c r="AH79" s="826"/>
      <c r="AI79" s="826"/>
      <c r="AJ79" s="826"/>
      <c r="AK79" s="827"/>
      <c r="AL79" s="19"/>
      <c r="AM79" s="535"/>
      <c r="AN79" s="535"/>
      <c r="AO79" s="535"/>
      <c r="AP79" s="535"/>
      <c r="AQ79" s="535"/>
      <c r="AR79" s="535"/>
      <c r="AS79" s="535"/>
      <c r="AT79" s="535"/>
      <c r="AU79" s="535"/>
      <c r="AV79" s="535"/>
      <c r="AW79" s="535"/>
      <c r="AX79" s="535"/>
      <c r="AY79" s="19"/>
      <c r="AZ79" s="13"/>
      <c r="BA79" s="822"/>
    </row>
    <row r="80" spans="1:53" ht="15" customHeight="1" thickBot="1">
      <c r="A80" s="18"/>
      <c r="B80" s="837"/>
      <c r="C80" s="838"/>
      <c r="D80" s="839"/>
      <c r="E80" s="828"/>
      <c r="F80" s="829"/>
      <c r="G80" s="825" t="s">
        <v>2256</v>
      </c>
      <c r="H80" s="826"/>
      <c r="I80" s="826"/>
      <c r="J80" s="826"/>
      <c r="K80" s="826"/>
      <c r="L80" s="826"/>
      <c r="M80" s="826"/>
      <c r="N80" s="826"/>
      <c r="O80" s="826"/>
      <c r="P80" s="826"/>
      <c r="Q80" s="826"/>
      <c r="R80" s="826"/>
      <c r="S80" s="826"/>
      <c r="T80" s="826"/>
      <c r="U80" s="826"/>
      <c r="V80" s="826"/>
      <c r="W80" s="826"/>
      <c r="X80" s="826"/>
      <c r="Y80" s="826"/>
      <c r="Z80" s="826"/>
      <c r="AA80" s="826"/>
      <c r="AB80" s="826"/>
      <c r="AC80" s="826"/>
      <c r="AD80" s="826"/>
      <c r="AE80" s="826"/>
      <c r="AF80" s="826"/>
      <c r="AG80" s="826"/>
      <c r="AH80" s="826"/>
      <c r="AI80" s="826"/>
      <c r="AJ80" s="826"/>
      <c r="AK80" s="827"/>
      <c r="AL80" s="19"/>
      <c r="AM80" s="851" t="str">
        <f>IF(AI58="該当", "！この区分（４項目）から２つ以上の取組が選択されていません。",  "！この区分（４項目）から１つ以上の取組が選択されていません。")</f>
        <v>！この区分（４項目）から２つ以上の取組が選択されていません。</v>
      </c>
      <c r="AN80" s="817"/>
      <c r="AO80" s="817"/>
      <c r="AP80" s="817"/>
      <c r="AQ80" s="817"/>
      <c r="AR80" s="817"/>
      <c r="AS80" s="817"/>
      <c r="AT80" s="817"/>
      <c r="AU80" s="817"/>
      <c r="AV80" s="817"/>
      <c r="AW80" s="817"/>
      <c r="AX80" s="818"/>
      <c r="AY80" s="19"/>
      <c r="AZ80" s="13"/>
      <c r="BA80" s="822">
        <f>COUNTIF(E81:F84, "✓")+COUNTIF(E81:F84, "誓約")</f>
        <v>2</v>
      </c>
    </row>
    <row r="81" spans="1:53" ht="32.450000000000003" customHeight="1" thickBot="1">
      <c r="A81" s="18"/>
      <c r="B81" s="688" t="s">
        <v>88</v>
      </c>
      <c r="C81" s="689"/>
      <c r="D81" s="834"/>
      <c r="E81" s="823"/>
      <c r="F81" s="824"/>
      <c r="G81" s="825" t="s">
        <v>2257</v>
      </c>
      <c r="H81" s="826"/>
      <c r="I81" s="826"/>
      <c r="J81" s="826"/>
      <c r="K81" s="826"/>
      <c r="L81" s="826"/>
      <c r="M81" s="826"/>
      <c r="N81" s="826"/>
      <c r="O81" s="826"/>
      <c r="P81" s="826"/>
      <c r="Q81" s="826"/>
      <c r="R81" s="826"/>
      <c r="S81" s="826"/>
      <c r="T81" s="826"/>
      <c r="U81" s="826"/>
      <c r="V81" s="826"/>
      <c r="W81" s="826"/>
      <c r="X81" s="826"/>
      <c r="Y81" s="826"/>
      <c r="Z81" s="826"/>
      <c r="AA81" s="826"/>
      <c r="AB81" s="826"/>
      <c r="AC81" s="826"/>
      <c r="AD81" s="826"/>
      <c r="AE81" s="826"/>
      <c r="AF81" s="826"/>
      <c r="AG81" s="826"/>
      <c r="AH81" s="826"/>
      <c r="AI81" s="826"/>
      <c r="AJ81" s="826"/>
      <c r="AK81" s="827"/>
      <c r="AL81" s="18"/>
      <c r="AM81" s="819"/>
      <c r="AN81" s="820"/>
      <c r="AO81" s="820"/>
      <c r="AP81" s="820"/>
      <c r="AQ81" s="820"/>
      <c r="AR81" s="820"/>
      <c r="AS81" s="820"/>
      <c r="AT81" s="820"/>
      <c r="AU81" s="820"/>
      <c r="AV81" s="820"/>
      <c r="AW81" s="820"/>
      <c r="AX81" s="821"/>
      <c r="AY81" s="158"/>
      <c r="AZ81" s="164"/>
      <c r="BA81" s="822"/>
    </row>
    <row r="82" spans="1:53" ht="28.15" customHeight="1">
      <c r="A82" s="18"/>
      <c r="B82" s="691"/>
      <c r="C82" s="835"/>
      <c r="D82" s="836"/>
      <c r="E82" s="823"/>
      <c r="F82" s="824"/>
      <c r="G82" s="825" t="s">
        <v>2258</v>
      </c>
      <c r="H82" s="826"/>
      <c r="I82" s="826"/>
      <c r="J82" s="826"/>
      <c r="K82" s="826"/>
      <c r="L82" s="826"/>
      <c r="M82" s="826"/>
      <c r="N82" s="826"/>
      <c r="O82" s="826"/>
      <c r="P82" s="826"/>
      <c r="Q82" s="826"/>
      <c r="R82" s="826"/>
      <c r="S82" s="826"/>
      <c r="T82" s="826"/>
      <c r="U82" s="826"/>
      <c r="V82" s="826"/>
      <c r="W82" s="826"/>
      <c r="X82" s="826"/>
      <c r="Y82" s="826"/>
      <c r="Z82" s="826"/>
      <c r="AA82" s="826"/>
      <c r="AB82" s="826"/>
      <c r="AC82" s="826"/>
      <c r="AD82" s="826"/>
      <c r="AE82" s="826"/>
      <c r="AF82" s="826"/>
      <c r="AG82" s="826"/>
      <c r="AH82" s="826"/>
      <c r="AI82" s="826"/>
      <c r="AJ82" s="826"/>
      <c r="AK82" s="827"/>
      <c r="AL82" s="19"/>
      <c r="AM82" s="158"/>
      <c r="AN82" s="158"/>
      <c r="AO82" s="158"/>
      <c r="AP82" s="158"/>
      <c r="AQ82" s="158"/>
      <c r="AR82" s="158"/>
      <c r="AS82" s="158"/>
      <c r="AT82" s="158"/>
      <c r="AU82" s="158"/>
      <c r="AV82" s="158"/>
      <c r="AW82" s="158"/>
      <c r="AX82" s="158"/>
      <c r="AY82" s="158"/>
      <c r="AZ82" s="164"/>
      <c r="BA82" s="822"/>
    </row>
    <row r="83" spans="1:53" ht="29.25" customHeight="1">
      <c r="A83" s="18"/>
      <c r="B83" s="691"/>
      <c r="C83" s="835"/>
      <c r="D83" s="836"/>
      <c r="E83" s="846" t="s">
        <v>30</v>
      </c>
      <c r="F83" s="847"/>
      <c r="G83" s="825" t="s">
        <v>2263</v>
      </c>
      <c r="H83" s="826"/>
      <c r="I83" s="826"/>
      <c r="J83" s="826"/>
      <c r="K83" s="826"/>
      <c r="L83" s="826"/>
      <c r="M83" s="826"/>
      <c r="N83" s="826"/>
      <c r="O83" s="826"/>
      <c r="P83" s="826"/>
      <c r="Q83" s="826"/>
      <c r="R83" s="826"/>
      <c r="S83" s="826"/>
      <c r="T83" s="826"/>
      <c r="U83" s="826"/>
      <c r="V83" s="826"/>
      <c r="W83" s="826"/>
      <c r="X83" s="826"/>
      <c r="Y83" s="826"/>
      <c r="Z83" s="826"/>
      <c r="AA83" s="826"/>
      <c r="AB83" s="826"/>
      <c r="AC83" s="826"/>
      <c r="AD83" s="826"/>
      <c r="AE83" s="826"/>
      <c r="AF83" s="826"/>
      <c r="AG83" s="826"/>
      <c r="AH83" s="826"/>
      <c r="AI83" s="826"/>
      <c r="AJ83" s="826"/>
      <c r="AK83" s="827"/>
      <c r="AL83" s="19"/>
      <c r="AM83" s="158"/>
      <c r="AN83" s="158"/>
      <c r="AO83" s="158"/>
      <c r="AP83" s="158"/>
      <c r="AQ83" s="158"/>
      <c r="AR83" s="158"/>
      <c r="AS83" s="158"/>
      <c r="AT83" s="158"/>
      <c r="AU83" s="158"/>
      <c r="AV83" s="158"/>
      <c r="AW83" s="158"/>
      <c r="AX83" s="158"/>
      <c r="AY83" s="19"/>
      <c r="AZ83" s="13"/>
      <c r="BA83" s="822"/>
    </row>
    <row r="84" spans="1:53" ht="28.15" customHeight="1" thickBot="1">
      <c r="A84" s="18"/>
      <c r="B84" s="837"/>
      <c r="C84" s="838"/>
      <c r="D84" s="839"/>
      <c r="E84" s="828" t="s">
        <v>30</v>
      </c>
      <c r="F84" s="829"/>
      <c r="G84" s="825" t="s">
        <v>2259</v>
      </c>
      <c r="H84" s="826"/>
      <c r="I84" s="826"/>
      <c r="J84" s="826"/>
      <c r="K84" s="826"/>
      <c r="L84" s="826"/>
      <c r="M84" s="826"/>
      <c r="N84" s="826"/>
      <c r="O84" s="826"/>
      <c r="P84" s="826"/>
      <c r="Q84" s="826"/>
      <c r="R84" s="826"/>
      <c r="S84" s="826"/>
      <c r="T84" s="826"/>
      <c r="U84" s="826"/>
      <c r="V84" s="826"/>
      <c r="W84" s="826"/>
      <c r="X84" s="826"/>
      <c r="Y84" s="826"/>
      <c r="Z84" s="826"/>
      <c r="AA84" s="826"/>
      <c r="AB84" s="826"/>
      <c r="AC84" s="826"/>
      <c r="AD84" s="826"/>
      <c r="AE84" s="826"/>
      <c r="AF84" s="826"/>
      <c r="AG84" s="826"/>
      <c r="AH84" s="826"/>
      <c r="AI84" s="826"/>
      <c r="AJ84" s="826"/>
      <c r="AK84" s="827"/>
      <c r="AL84" s="19"/>
      <c r="AM84" s="842"/>
      <c r="AN84" s="842"/>
      <c r="AO84" s="842"/>
      <c r="AP84" s="842"/>
      <c r="AQ84" s="842"/>
      <c r="AR84" s="842"/>
      <c r="AS84" s="842"/>
      <c r="AT84" s="842"/>
      <c r="AU84" s="842"/>
      <c r="AV84" s="842"/>
      <c r="AW84" s="842"/>
      <c r="AX84" s="842"/>
      <c r="AY84" s="19"/>
      <c r="AZ84" s="13"/>
      <c r="BA84" s="843">
        <f>COUNTIF(E85:F91, "✓")+COUNTIF(E85:F91, "誓約")</f>
        <v>1</v>
      </c>
    </row>
    <row r="85" spans="1:53" ht="15" customHeight="1" thickBot="1">
      <c r="A85" s="18"/>
      <c r="B85" s="688" t="s">
        <v>89</v>
      </c>
      <c r="C85" s="689"/>
      <c r="D85" s="834"/>
      <c r="E85" s="823" t="s">
        <v>267</v>
      </c>
      <c r="F85" s="824"/>
      <c r="G85" s="825" t="s">
        <v>90</v>
      </c>
      <c r="H85" s="826"/>
      <c r="I85" s="826"/>
      <c r="J85" s="826"/>
      <c r="K85" s="826"/>
      <c r="L85" s="826"/>
      <c r="M85" s="826"/>
      <c r="N85" s="826"/>
      <c r="O85" s="826"/>
      <c r="P85" s="826"/>
      <c r="Q85" s="826"/>
      <c r="R85" s="826"/>
      <c r="S85" s="826"/>
      <c r="T85" s="826"/>
      <c r="U85" s="826"/>
      <c r="V85" s="826"/>
      <c r="W85" s="826"/>
      <c r="X85" s="826"/>
      <c r="Y85" s="826"/>
      <c r="Z85" s="826"/>
      <c r="AA85" s="826"/>
      <c r="AB85" s="826"/>
      <c r="AC85" s="826"/>
      <c r="AD85" s="826"/>
      <c r="AE85" s="826"/>
      <c r="AF85" s="826"/>
      <c r="AG85" s="826"/>
      <c r="AH85" s="826"/>
      <c r="AI85" s="826"/>
      <c r="AJ85" s="826"/>
      <c r="AK85" s="827"/>
      <c r="AL85" s="19"/>
      <c r="AM85" s="848" t="str">
        <f>IF(AND(AI58="該当", E85= ""), "！⑱の取組は必須です。",  "")</f>
        <v/>
      </c>
      <c r="AN85" s="849"/>
      <c r="AO85" s="849"/>
      <c r="AP85" s="849"/>
      <c r="AQ85" s="849"/>
      <c r="AR85" s="849"/>
      <c r="AS85" s="849"/>
      <c r="AT85" s="849"/>
      <c r="AU85" s="849"/>
      <c r="AV85" s="849"/>
      <c r="AW85" s="849"/>
      <c r="AX85" s="850"/>
      <c r="AY85" s="158"/>
      <c r="AZ85" s="164"/>
      <c r="BA85" s="844"/>
    </row>
    <row r="86" spans="1:53" ht="26.45" customHeight="1">
      <c r="A86" s="18"/>
      <c r="B86" s="691"/>
      <c r="C86" s="835"/>
      <c r="D86" s="836"/>
      <c r="E86" s="823"/>
      <c r="F86" s="824"/>
      <c r="G86" s="825" t="s">
        <v>91</v>
      </c>
      <c r="H86" s="826"/>
      <c r="I86" s="826"/>
      <c r="J86" s="826"/>
      <c r="K86" s="826"/>
      <c r="L86" s="826"/>
      <c r="M86" s="826"/>
      <c r="N86" s="826"/>
      <c r="O86" s="826"/>
      <c r="P86" s="826"/>
      <c r="Q86" s="826"/>
      <c r="R86" s="826"/>
      <c r="S86" s="826"/>
      <c r="T86" s="826"/>
      <c r="U86" s="826"/>
      <c r="V86" s="826"/>
      <c r="W86" s="826"/>
      <c r="X86" s="826"/>
      <c r="Y86" s="826"/>
      <c r="Z86" s="826"/>
      <c r="AA86" s="826"/>
      <c r="AB86" s="826"/>
      <c r="AC86" s="826"/>
      <c r="AD86" s="826"/>
      <c r="AE86" s="826"/>
      <c r="AF86" s="826"/>
      <c r="AG86" s="826"/>
      <c r="AH86" s="826"/>
      <c r="AI86" s="826"/>
      <c r="AJ86" s="826"/>
      <c r="AK86" s="827"/>
      <c r="AL86" s="19"/>
      <c r="AM86" s="816" t="str">
        <f>IF(AI58="該当", "！この区分（８項目）から３つ以上の取組が選択されていません。",  "！この区分（４項目）から２つ以上の取組が選択されていません。")</f>
        <v>！この区分（８項目）から３つ以上の取組が選択されていません。</v>
      </c>
      <c r="AN86" s="817"/>
      <c r="AO86" s="817"/>
      <c r="AP86" s="817"/>
      <c r="AQ86" s="817"/>
      <c r="AR86" s="817"/>
      <c r="AS86" s="817"/>
      <c r="AT86" s="817"/>
      <c r="AU86" s="817"/>
      <c r="AV86" s="817"/>
      <c r="AW86" s="817"/>
      <c r="AX86" s="818"/>
      <c r="AY86" s="158"/>
      <c r="AZ86" s="164"/>
      <c r="BA86" s="844"/>
    </row>
    <row r="87" spans="1:53" ht="15" customHeight="1" thickBot="1">
      <c r="A87" s="18"/>
      <c r="B87" s="691"/>
      <c r="C87" s="835"/>
      <c r="D87" s="836"/>
      <c r="E87" s="823"/>
      <c r="F87" s="824"/>
      <c r="G87" s="825" t="s">
        <v>92</v>
      </c>
      <c r="H87" s="826"/>
      <c r="I87" s="826"/>
      <c r="J87" s="826"/>
      <c r="K87" s="826"/>
      <c r="L87" s="826"/>
      <c r="M87" s="826"/>
      <c r="N87" s="826"/>
      <c r="O87" s="826"/>
      <c r="P87" s="826"/>
      <c r="Q87" s="826"/>
      <c r="R87" s="826"/>
      <c r="S87" s="826"/>
      <c r="T87" s="826"/>
      <c r="U87" s="826"/>
      <c r="V87" s="826"/>
      <c r="W87" s="826"/>
      <c r="X87" s="826"/>
      <c r="Y87" s="826"/>
      <c r="Z87" s="826"/>
      <c r="AA87" s="826"/>
      <c r="AB87" s="826"/>
      <c r="AC87" s="826"/>
      <c r="AD87" s="826"/>
      <c r="AE87" s="826"/>
      <c r="AF87" s="826"/>
      <c r="AG87" s="826"/>
      <c r="AH87" s="826"/>
      <c r="AI87" s="826"/>
      <c r="AJ87" s="826"/>
      <c r="AK87" s="827"/>
      <c r="AL87" s="19"/>
      <c r="AM87" s="819"/>
      <c r="AN87" s="820"/>
      <c r="AO87" s="820"/>
      <c r="AP87" s="820"/>
      <c r="AQ87" s="820"/>
      <c r="AR87" s="820"/>
      <c r="AS87" s="820"/>
      <c r="AT87" s="820"/>
      <c r="AU87" s="820"/>
      <c r="AV87" s="820"/>
      <c r="AW87" s="820"/>
      <c r="AX87" s="821"/>
      <c r="AY87" s="19"/>
      <c r="AZ87" s="13"/>
      <c r="BA87" s="844"/>
    </row>
    <row r="88" spans="1:53" ht="27.6" customHeight="1">
      <c r="A88" s="18"/>
      <c r="B88" s="691"/>
      <c r="C88" s="835"/>
      <c r="D88" s="836"/>
      <c r="E88" s="823"/>
      <c r="F88" s="824"/>
      <c r="G88" s="825" t="s">
        <v>2260</v>
      </c>
      <c r="H88" s="826"/>
      <c r="I88" s="826"/>
      <c r="J88" s="826"/>
      <c r="K88" s="826"/>
      <c r="L88" s="826"/>
      <c r="M88" s="826"/>
      <c r="N88" s="826"/>
      <c r="O88" s="826"/>
      <c r="P88" s="826"/>
      <c r="Q88" s="826"/>
      <c r="R88" s="826"/>
      <c r="S88" s="826"/>
      <c r="T88" s="826"/>
      <c r="U88" s="826"/>
      <c r="V88" s="826"/>
      <c r="W88" s="826"/>
      <c r="X88" s="826"/>
      <c r="Y88" s="826"/>
      <c r="Z88" s="826"/>
      <c r="AA88" s="826"/>
      <c r="AB88" s="826"/>
      <c r="AC88" s="826"/>
      <c r="AD88" s="826"/>
      <c r="AE88" s="826"/>
      <c r="AF88" s="826"/>
      <c r="AG88" s="826"/>
      <c r="AH88" s="826"/>
      <c r="AI88" s="826"/>
      <c r="AJ88" s="826"/>
      <c r="AK88" s="827"/>
      <c r="AL88" s="19"/>
      <c r="AM88" s="158"/>
      <c r="AN88" s="158"/>
      <c r="AO88" s="158"/>
      <c r="AP88" s="158"/>
      <c r="AQ88" s="158"/>
      <c r="AR88" s="158"/>
      <c r="AS88" s="158"/>
      <c r="AT88" s="158"/>
      <c r="AU88" s="158"/>
      <c r="AV88" s="158"/>
      <c r="AW88" s="158"/>
      <c r="AX88" s="158"/>
      <c r="AY88" s="158"/>
      <c r="AZ88" s="164"/>
      <c r="BA88" s="844"/>
    </row>
    <row r="89" spans="1:53" ht="28.15" customHeight="1">
      <c r="A89" s="18"/>
      <c r="B89" s="691"/>
      <c r="C89" s="835"/>
      <c r="D89" s="836"/>
      <c r="E89" s="823"/>
      <c r="F89" s="824"/>
      <c r="G89" s="825" t="s">
        <v>93</v>
      </c>
      <c r="H89" s="826"/>
      <c r="I89" s="826"/>
      <c r="J89" s="826"/>
      <c r="K89" s="826"/>
      <c r="L89" s="826"/>
      <c r="M89" s="826"/>
      <c r="N89" s="826"/>
      <c r="O89" s="826"/>
      <c r="P89" s="826"/>
      <c r="Q89" s="826"/>
      <c r="R89" s="826"/>
      <c r="S89" s="826"/>
      <c r="T89" s="826"/>
      <c r="U89" s="826"/>
      <c r="V89" s="826"/>
      <c r="W89" s="826"/>
      <c r="X89" s="826"/>
      <c r="Y89" s="826"/>
      <c r="Z89" s="826"/>
      <c r="AA89" s="826"/>
      <c r="AB89" s="826"/>
      <c r="AC89" s="826"/>
      <c r="AD89" s="826"/>
      <c r="AE89" s="826"/>
      <c r="AF89" s="826"/>
      <c r="AG89" s="826"/>
      <c r="AH89" s="826"/>
      <c r="AI89" s="826"/>
      <c r="AJ89" s="826"/>
      <c r="AK89" s="827"/>
      <c r="AL89" s="19"/>
      <c r="AM89" s="158"/>
      <c r="AN89" s="158"/>
      <c r="AO89" s="158"/>
      <c r="AP89" s="158"/>
      <c r="AQ89" s="158"/>
      <c r="AR89" s="158"/>
      <c r="AS89" s="158"/>
      <c r="AT89" s="158"/>
      <c r="AU89" s="158"/>
      <c r="AV89" s="158"/>
      <c r="AW89" s="158"/>
      <c r="AX89" s="158"/>
      <c r="AY89" s="158"/>
      <c r="AZ89" s="164"/>
      <c r="BA89" s="844"/>
    </row>
    <row r="90" spans="1:53" ht="46.9" customHeight="1">
      <c r="A90" s="18"/>
      <c r="B90" s="691"/>
      <c r="C90" s="835"/>
      <c r="D90" s="836"/>
      <c r="E90" s="823"/>
      <c r="F90" s="824"/>
      <c r="G90" s="825" t="s">
        <v>2264</v>
      </c>
      <c r="H90" s="826"/>
      <c r="I90" s="826"/>
      <c r="J90" s="826"/>
      <c r="K90" s="826"/>
      <c r="L90" s="826"/>
      <c r="M90" s="826"/>
      <c r="N90" s="826"/>
      <c r="O90" s="826"/>
      <c r="P90" s="826"/>
      <c r="Q90" s="826"/>
      <c r="R90" s="826"/>
      <c r="S90" s="826"/>
      <c r="T90" s="826"/>
      <c r="U90" s="826"/>
      <c r="V90" s="826"/>
      <c r="W90" s="826"/>
      <c r="X90" s="826"/>
      <c r="Y90" s="826"/>
      <c r="Z90" s="826"/>
      <c r="AA90" s="826"/>
      <c r="AB90" s="826"/>
      <c r="AC90" s="826"/>
      <c r="AD90" s="826"/>
      <c r="AE90" s="826"/>
      <c r="AF90" s="826"/>
      <c r="AG90" s="826"/>
      <c r="AH90" s="826"/>
      <c r="AI90" s="826"/>
      <c r="AJ90" s="826"/>
      <c r="AK90" s="827"/>
      <c r="AL90" s="19"/>
      <c r="AM90" s="158"/>
      <c r="AN90" s="158"/>
      <c r="AO90" s="158"/>
      <c r="AP90" s="158"/>
      <c r="AQ90" s="158"/>
      <c r="AR90" s="158"/>
      <c r="AS90" s="158"/>
      <c r="AT90" s="158"/>
      <c r="AU90" s="158"/>
      <c r="AV90" s="158"/>
      <c r="AW90" s="158"/>
      <c r="AX90" s="158"/>
      <c r="AY90" s="19"/>
      <c r="AZ90" s="13"/>
      <c r="BA90" s="844"/>
    </row>
    <row r="91" spans="1:53" ht="42.6" customHeight="1">
      <c r="A91" s="18"/>
      <c r="B91" s="691"/>
      <c r="C91" s="835"/>
      <c r="D91" s="836"/>
      <c r="E91" s="823"/>
      <c r="F91" s="824"/>
      <c r="G91" s="825" t="s">
        <v>94</v>
      </c>
      <c r="H91" s="826"/>
      <c r="I91" s="826"/>
      <c r="J91" s="826"/>
      <c r="K91" s="826"/>
      <c r="L91" s="826"/>
      <c r="M91" s="826"/>
      <c r="N91" s="826"/>
      <c r="O91" s="826"/>
      <c r="P91" s="826"/>
      <c r="Q91" s="826"/>
      <c r="R91" s="826"/>
      <c r="S91" s="826"/>
      <c r="T91" s="826"/>
      <c r="U91" s="826"/>
      <c r="V91" s="826"/>
      <c r="W91" s="826"/>
      <c r="X91" s="826"/>
      <c r="Y91" s="826"/>
      <c r="Z91" s="826"/>
      <c r="AA91" s="826"/>
      <c r="AB91" s="826"/>
      <c r="AC91" s="826"/>
      <c r="AD91" s="826"/>
      <c r="AE91" s="826"/>
      <c r="AF91" s="826"/>
      <c r="AG91" s="826"/>
      <c r="AH91" s="826"/>
      <c r="AI91" s="826"/>
      <c r="AJ91" s="826"/>
      <c r="AK91" s="827"/>
      <c r="AL91" s="19"/>
      <c r="AM91" s="158"/>
      <c r="AN91" s="158"/>
      <c r="AO91" s="158"/>
      <c r="AP91" s="158"/>
      <c r="AQ91" s="158"/>
      <c r="AR91" s="158"/>
      <c r="AS91" s="158"/>
      <c r="AT91" s="158"/>
      <c r="AU91" s="158"/>
      <c r="AV91" s="158"/>
      <c r="AW91" s="158"/>
      <c r="AX91" s="158"/>
      <c r="AY91" s="19"/>
      <c r="AZ91" s="13"/>
      <c r="BA91" s="845"/>
    </row>
    <row r="92" spans="1:53" ht="28.15" customHeight="1" thickBot="1">
      <c r="A92" s="18"/>
      <c r="B92" s="837"/>
      <c r="C92" s="838"/>
      <c r="D92" s="839"/>
      <c r="E92" s="828" t="s">
        <v>267</v>
      </c>
      <c r="F92" s="829"/>
      <c r="G92" s="831" t="s">
        <v>95</v>
      </c>
      <c r="H92" s="832"/>
      <c r="I92" s="832"/>
      <c r="J92" s="832"/>
      <c r="K92" s="832"/>
      <c r="L92" s="832"/>
      <c r="M92" s="832"/>
      <c r="N92" s="832"/>
      <c r="O92" s="832"/>
      <c r="P92" s="832"/>
      <c r="Q92" s="832"/>
      <c r="R92" s="832"/>
      <c r="S92" s="832"/>
      <c r="T92" s="832"/>
      <c r="U92" s="832"/>
      <c r="V92" s="832"/>
      <c r="W92" s="832"/>
      <c r="X92" s="832"/>
      <c r="Y92" s="832"/>
      <c r="Z92" s="832"/>
      <c r="AA92" s="832"/>
      <c r="AB92" s="832"/>
      <c r="AC92" s="832"/>
      <c r="AD92" s="832"/>
      <c r="AE92" s="832"/>
      <c r="AF92" s="832"/>
      <c r="AG92" s="832"/>
      <c r="AH92" s="832"/>
      <c r="AI92" s="832"/>
      <c r="AJ92" s="832"/>
      <c r="AK92" s="833"/>
      <c r="AL92" s="19"/>
      <c r="AM92" s="158"/>
      <c r="AN92" s="158"/>
      <c r="AO92" s="158"/>
      <c r="AP92" s="158"/>
      <c r="AQ92" s="158"/>
      <c r="AR92" s="158"/>
      <c r="AS92" s="158"/>
      <c r="AT92" s="158"/>
      <c r="AU92" s="158"/>
      <c r="AV92" s="158"/>
      <c r="AW92" s="158"/>
      <c r="AX92" s="158"/>
      <c r="AY92" s="19"/>
      <c r="AZ92" s="13"/>
      <c r="BA92" s="541"/>
    </row>
    <row r="93" spans="1:53" ht="24" customHeight="1">
      <c r="A93" s="18"/>
      <c r="B93" s="688" t="s">
        <v>96</v>
      </c>
      <c r="C93" s="689"/>
      <c r="D93" s="834"/>
      <c r="E93" s="840" t="s">
        <v>30</v>
      </c>
      <c r="F93" s="841"/>
      <c r="G93" s="825" t="s">
        <v>2265</v>
      </c>
      <c r="H93" s="826"/>
      <c r="I93" s="826"/>
      <c r="J93" s="826"/>
      <c r="K93" s="826"/>
      <c r="L93" s="826"/>
      <c r="M93" s="826"/>
      <c r="N93" s="826"/>
      <c r="O93" s="826"/>
      <c r="P93" s="826"/>
      <c r="Q93" s="826"/>
      <c r="R93" s="826"/>
      <c r="S93" s="826"/>
      <c r="T93" s="826"/>
      <c r="U93" s="826"/>
      <c r="V93" s="826"/>
      <c r="W93" s="826"/>
      <c r="X93" s="826"/>
      <c r="Y93" s="826"/>
      <c r="Z93" s="826"/>
      <c r="AA93" s="826"/>
      <c r="AB93" s="826"/>
      <c r="AC93" s="826"/>
      <c r="AD93" s="826"/>
      <c r="AE93" s="826"/>
      <c r="AF93" s="826"/>
      <c r="AG93" s="826"/>
      <c r="AH93" s="826"/>
      <c r="AI93" s="826"/>
      <c r="AJ93" s="826"/>
      <c r="AK93" s="827"/>
      <c r="AL93" s="165"/>
      <c r="AM93" s="816" t="str">
        <f>IF(AI58="該当", "！この区分（４項目）から２つ以上の取組が選択されていません。",  "！この区分（４項目）から１つ以上の取組が選択されていません。")</f>
        <v>！この区分（４項目）から２つ以上の取組が選択されていません。</v>
      </c>
      <c r="AN93" s="817"/>
      <c r="AO93" s="817"/>
      <c r="AP93" s="817"/>
      <c r="AQ93" s="817"/>
      <c r="AR93" s="817"/>
      <c r="AS93" s="817"/>
      <c r="AT93" s="817"/>
      <c r="AU93" s="817"/>
      <c r="AV93" s="817"/>
      <c r="AW93" s="817"/>
      <c r="AX93" s="818"/>
      <c r="AY93" s="19"/>
      <c r="AZ93" s="13"/>
      <c r="BA93" s="822">
        <f>COUNTIF(E93:F96, "✓")+COUNTIF(E93:F96, "誓約")</f>
        <v>2</v>
      </c>
    </row>
    <row r="94" spans="1:53" ht="27.75" customHeight="1" thickBot="1">
      <c r="A94" s="18"/>
      <c r="B94" s="691"/>
      <c r="C94" s="835"/>
      <c r="D94" s="836"/>
      <c r="E94" s="823" t="s">
        <v>30</v>
      </c>
      <c r="F94" s="824"/>
      <c r="G94" s="825" t="s">
        <v>2266</v>
      </c>
      <c r="H94" s="826"/>
      <c r="I94" s="826"/>
      <c r="J94" s="826"/>
      <c r="K94" s="826"/>
      <c r="L94" s="826"/>
      <c r="M94" s="826"/>
      <c r="N94" s="826"/>
      <c r="O94" s="826"/>
      <c r="P94" s="826"/>
      <c r="Q94" s="826"/>
      <c r="R94" s="826"/>
      <c r="S94" s="826"/>
      <c r="T94" s="826"/>
      <c r="U94" s="826"/>
      <c r="V94" s="826"/>
      <c r="W94" s="826"/>
      <c r="X94" s="826"/>
      <c r="Y94" s="826"/>
      <c r="Z94" s="826"/>
      <c r="AA94" s="826"/>
      <c r="AB94" s="826"/>
      <c r="AC94" s="826"/>
      <c r="AD94" s="826"/>
      <c r="AE94" s="826"/>
      <c r="AF94" s="826"/>
      <c r="AG94" s="826"/>
      <c r="AH94" s="826"/>
      <c r="AI94" s="826"/>
      <c r="AJ94" s="826"/>
      <c r="AK94" s="827"/>
      <c r="AL94" s="19"/>
      <c r="AM94" s="819"/>
      <c r="AN94" s="820"/>
      <c r="AO94" s="820"/>
      <c r="AP94" s="820"/>
      <c r="AQ94" s="820"/>
      <c r="AR94" s="820"/>
      <c r="AS94" s="820"/>
      <c r="AT94" s="820"/>
      <c r="AU94" s="820"/>
      <c r="AV94" s="820"/>
      <c r="AW94" s="820"/>
      <c r="AX94" s="821"/>
      <c r="AY94" s="158"/>
      <c r="AZ94" s="164"/>
      <c r="BA94" s="822"/>
    </row>
    <row r="95" spans="1:53" ht="15" customHeight="1">
      <c r="A95" s="18"/>
      <c r="B95" s="691"/>
      <c r="C95" s="835"/>
      <c r="D95" s="836"/>
      <c r="E95" s="823"/>
      <c r="F95" s="824"/>
      <c r="G95" s="825" t="s">
        <v>2261</v>
      </c>
      <c r="H95" s="826"/>
      <c r="I95" s="826"/>
      <c r="J95" s="826"/>
      <c r="K95" s="826"/>
      <c r="L95" s="826"/>
      <c r="M95" s="826"/>
      <c r="N95" s="826"/>
      <c r="O95" s="826"/>
      <c r="P95" s="826"/>
      <c r="Q95" s="826"/>
      <c r="R95" s="826"/>
      <c r="S95" s="826"/>
      <c r="T95" s="826"/>
      <c r="U95" s="826"/>
      <c r="V95" s="826"/>
      <c r="W95" s="826"/>
      <c r="X95" s="826"/>
      <c r="Y95" s="826"/>
      <c r="Z95" s="826"/>
      <c r="AA95" s="826"/>
      <c r="AB95" s="826"/>
      <c r="AC95" s="826"/>
      <c r="AD95" s="826"/>
      <c r="AE95" s="826"/>
      <c r="AF95" s="826"/>
      <c r="AG95" s="826"/>
      <c r="AH95" s="826"/>
      <c r="AI95" s="826"/>
      <c r="AJ95" s="826"/>
      <c r="AK95" s="827"/>
      <c r="AL95" s="19"/>
      <c r="AM95" s="542"/>
      <c r="AN95" s="542"/>
      <c r="AO95" s="542"/>
      <c r="AP95" s="542"/>
      <c r="AQ95" s="542"/>
      <c r="AR95" s="542"/>
      <c r="AS95" s="542"/>
      <c r="AT95" s="542"/>
      <c r="AU95" s="542"/>
      <c r="AV95" s="542"/>
      <c r="AW95" s="542"/>
      <c r="AX95" s="542"/>
      <c r="AY95" s="158"/>
      <c r="AZ95" s="164"/>
      <c r="BA95" s="822"/>
    </row>
    <row r="96" spans="1:53" ht="15" customHeight="1" thickBot="1">
      <c r="A96" s="18"/>
      <c r="B96" s="837"/>
      <c r="C96" s="838"/>
      <c r="D96" s="839"/>
      <c r="E96" s="828"/>
      <c r="F96" s="829"/>
      <c r="G96" s="827" t="s">
        <v>2262</v>
      </c>
      <c r="H96" s="830"/>
      <c r="I96" s="830"/>
      <c r="J96" s="830"/>
      <c r="K96" s="830"/>
      <c r="L96" s="830"/>
      <c r="M96" s="830"/>
      <c r="N96" s="830"/>
      <c r="O96" s="830"/>
      <c r="P96" s="830"/>
      <c r="Q96" s="830"/>
      <c r="R96" s="830"/>
      <c r="S96" s="830"/>
      <c r="T96" s="830"/>
      <c r="U96" s="830"/>
      <c r="V96" s="830"/>
      <c r="W96" s="830"/>
      <c r="X96" s="830"/>
      <c r="Y96" s="830"/>
      <c r="Z96" s="830"/>
      <c r="AA96" s="830"/>
      <c r="AB96" s="830"/>
      <c r="AC96" s="830"/>
      <c r="AD96" s="830"/>
      <c r="AE96" s="830"/>
      <c r="AF96" s="830"/>
      <c r="AG96" s="830"/>
      <c r="AH96" s="830"/>
      <c r="AI96" s="830"/>
      <c r="AJ96" s="830"/>
      <c r="AK96" s="830"/>
      <c r="AL96" s="18"/>
      <c r="AM96" s="542"/>
      <c r="AN96" s="542"/>
      <c r="AO96" s="542"/>
      <c r="AP96" s="542"/>
      <c r="AQ96" s="542"/>
      <c r="AR96" s="542"/>
      <c r="AS96" s="542"/>
      <c r="AT96" s="542"/>
      <c r="AU96" s="542"/>
      <c r="AV96" s="542"/>
      <c r="AW96" s="542"/>
      <c r="AX96" s="542"/>
      <c r="AY96" s="18"/>
      <c r="BA96" s="822"/>
    </row>
    <row r="97" spans="1:56" ht="6" customHeight="1">
      <c r="A97" s="18"/>
      <c r="B97" s="159"/>
      <c r="C97" s="159"/>
      <c r="D97" s="159"/>
      <c r="E97" s="159"/>
      <c r="F97" s="159"/>
      <c r="G97" s="81"/>
      <c r="H97" s="81"/>
      <c r="I97" s="81"/>
      <c r="J97" s="81"/>
      <c r="K97" s="81"/>
      <c r="L97" s="81"/>
      <c r="M97" s="81"/>
      <c r="N97" s="81"/>
      <c r="O97" s="81"/>
      <c r="P97" s="81"/>
      <c r="Q97" s="81"/>
      <c r="R97" s="81"/>
      <c r="S97" s="81"/>
      <c r="T97" s="81"/>
      <c r="U97" s="81"/>
      <c r="V97" s="81"/>
      <c r="W97" s="81"/>
      <c r="X97" s="81"/>
      <c r="Y97" s="81"/>
      <c r="Z97" s="81"/>
      <c r="AA97" s="81"/>
      <c r="AB97" s="81"/>
      <c r="AC97" s="81"/>
      <c r="AD97" s="81"/>
      <c r="AE97" s="81"/>
      <c r="AF97" s="81"/>
      <c r="AG97" s="81"/>
      <c r="AH97" s="81"/>
      <c r="AI97" s="81"/>
      <c r="AJ97" s="81"/>
      <c r="AK97" s="81"/>
      <c r="AL97" s="18"/>
      <c r="AM97" s="166"/>
      <c r="AN97" s="19"/>
      <c r="AO97" s="165"/>
      <c r="AP97" s="165"/>
      <c r="AQ97" s="165"/>
      <c r="AR97" s="165"/>
      <c r="AS97" s="165"/>
      <c r="AT97" s="165"/>
      <c r="AU97" s="165"/>
      <c r="AV97" s="165"/>
      <c r="AW97" s="165"/>
      <c r="AX97" s="165"/>
      <c r="AY97" s="165"/>
      <c r="AZ97" s="167"/>
    </row>
    <row r="98" spans="1:56" s="13" customFormat="1" ht="17.45" customHeight="1" thickBot="1">
      <c r="A98" s="165"/>
      <c r="B98" s="547" t="s">
        <v>97</v>
      </c>
      <c r="C98" s="548"/>
      <c r="D98" s="548"/>
      <c r="E98" s="548"/>
      <c r="F98" s="548"/>
      <c r="G98" s="548"/>
      <c r="H98" s="548"/>
      <c r="I98" s="548"/>
      <c r="J98" s="548"/>
      <c r="K98" s="548"/>
      <c r="L98" s="548"/>
      <c r="M98" s="548"/>
      <c r="N98" s="548"/>
      <c r="O98" s="548"/>
      <c r="P98" s="548"/>
      <c r="Q98" s="548"/>
      <c r="R98" s="548"/>
      <c r="S98" s="548"/>
      <c r="T98" s="548"/>
      <c r="U98" s="548"/>
      <c r="V98" s="548"/>
      <c r="W98" s="548"/>
      <c r="X98" s="548"/>
      <c r="Y98" s="548"/>
      <c r="Z98" s="548"/>
      <c r="AA98" s="548"/>
      <c r="AB98" s="548"/>
      <c r="AC98" s="548"/>
      <c r="AD98" s="548"/>
      <c r="AE98" s="548"/>
      <c r="AF98" s="548"/>
      <c r="AG98" s="548"/>
      <c r="AH98" s="548"/>
      <c r="AI98" s="548"/>
      <c r="AJ98" s="548"/>
      <c r="AK98" s="548"/>
      <c r="AL98" s="19"/>
      <c r="AM98" s="165"/>
      <c r="AN98" s="168"/>
      <c r="AO98" s="169"/>
      <c r="AP98" s="169"/>
      <c r="AQ98" s="169"/>
      <c r="AR98" s="169"/>
      <c r="AS98" s="169"/>
      <c r="AT98" s="169"/>
      <c r="AU98" s="169"/>
      <c r="AV98" s="169"/>
      <c r="AW98" s="169"/>
      <c r="AX98" s="169"/>
      <c r="AY98" s="169"/>
      <c r="AZ98" s="170"/>
    </row>
    <row r="99" spans="1:56" s="170" customFormat="1" ht="18.600000000000001" customHeight="1" thickBot="1">
      <c r="A99" s="165"/>
      <c r="B99" s="171" t="s">
        <v>58</v>
      </c>
      <c r="C99" s="796" t="s">
        <v>2194</v>
      </c>
      <c r="D99" s="796"/>
      <c r="E99" s="796"/>
      <c r="F99" s="796"/>
      <c r="G99" s="796"/>
      <c r="H99" s="796"/>
      <c r="I99" s="796"/>
      <c r="J99" s="796"/>
      <c r="K99" s="796"/>
      <c r="L99" s="796"/>
      <c r="M99" s="796"/>
      <c r="N99" s="796"/>
      <c r="O99" s="796"/>
      <c r="P99" s="796"/>
      <c r="Q99" s="796"/>
      <c r="R99" s="796"/>
      <c r="S99" s="796"/>
      <c r="T99" s="796"/>
      <c r="U99" s="796"/>
      <c r="V99" s="796"/>
      <c r="W99" s="796"/>
      <c r="X99" s="796"/>
      <c r="Y99" s="796"/>
      <c r="Z99" s="796"/>
      <c r="AA99" s="796"/>
      <c r="AB99" s="796"/>
      <c r="AC99" s="796"/>
      <c r="AD99" s="796"/>
      <c r="AE99" s="796"/>
      <c r="AF99" s="796"/>
      <c r="AG99" s="796"/>
      <c r="AH99" s="796"/>
      <c r="AI99" s="796"/>
      <c r="AJ99" s="797"/>
      <c r="AK99" s="532" t="str">
        <f>IF($AI58="該当",IF(OR($F100="✓",$F101="✓"),"○","×"),"")</f>
        <v>○</v>
      </c>
      <c r="AL99" s="18"/>
      <c r="AY99" s="167"/>
    </row>
    <row r="100" spans="1:56" s="167" customFormat="1" ht="30.6" customHeight="1">
      <c r="A100" s="165"/>
      <c r="B100" s="798" t="s">
        <v>99</v>
      </c>
      <c r="C100" s="799"/>
      <c r="D100" s="799"/>
      <c r="E100" s="800" t="b">
        <v>0</v>
      </c>
      <c r="F100" s="626"/>
      <c r="G100" s="804" t="s">
        <v>2267</v>
      </c>
      <c r="H100" s="804"/>
      <c r="I100" s="804"/>
      <c r="J100" s="804"/>
      <c r="K100" s="804"/>
      <c r="L100" s="804"/>
      <c r="M100" s="804"/>
      <c r="N100" s="804"/>
      <c r="O100" s="804"/>
      <c r="P100" s="804"/>
      <c r="Q100" s="804"/>
      <c r="R100" s="804"/>
      <c r="S100" s="804"/>
      <c r="T100" s="804"/>
      <c r="U100" s="804"/>
      <c r="V100" s="804"/>
      <c r="W100" s="804"/>
      <c r="X100" s="804"/>
      <c r="Y100" s="804"/>
      <c r="Z100" s="804"/>
      <c r="AA100" s="804"/>
      <c r="AB100" s="804"/>
      <c r="AC100" s="804"/>
      <c r="AD100" s="804"/>
      <c r="AE100" s="804"/>
      <c r="AF100" s="804"/>
      <c r="AG100" s="804"/>
      <c r="AH100" s="804"/>
      <c r="AI100" s="804"/>
      <c r="AJ100" s="804"/>
      <c r="AK100" s="805"/>
      <c r="AL100" s="19"/>
      <c r="AM100" s="806" t="s">
        <v>98</v>
      </c>
      <c r="AN100" s="807"/>
      <c r="AO100" s="807"/>
      <c r="AP100" s="807"/>
      <c r="AQ100" s="807"/>
      <c r="AR100" s="807"/>
      <c r="AS100" s="807"/>
      <c r="AT100" s="807"/>
      <c r="AU100" s="807"/>
      <c r="AV100" s="807"/>
      <c r="AW100" s="807"/>
      <c r="AX100" s="808"/>
    </row>
    <row r="101" spans="1:56" s="167" customFormat="1" ht="22.9" customHeight="1" thickBot="1">
      <c r="A101" s="165"/>
      <c r="B101" s="801"/>
      <c r="C101" s="802"/>
      <c r="D101" s="802"/>
      <c r="E101" s="803" t="b">
        <v>0</v>
      </c>
      <c r="F101" s="627" t="s">
        <v>30</v>
      </c>
      <c r="G101" s="812" t="s">
        <v>100</v>
      </c>
      <c r="H101" s="812"/>
      <c r="I101" s="812"/>
      <c r="J101" s="812"/>
      <c r="K101" s="812"/>
      <c r="L101" s="812"/>
      <c r="M101" s="812"/>
      <c r="N101" s="812"/>
      <c r="O101" s="812"/>
      <c r="P101" s="812"/>
      <c r="Q101" s="812"/>
      <c r="R101" s="812"/>
      <c r="S101" s="812"/>
      <c r="T101" s="812"/>
      <c r="U101" s="812"/>
      <c r="V101" s="812"/>
      <c r="W101" s="812"/>
      <c r="X101" s="812"/>
      <c r="Y101" s="812"/>
      <c r="Z101" s="812"/>
      <c r="AA101" s="812"/>
      <c r="AB101" s="812"/>
      <c r="AC101" s="812"/>
      <c r="AD101" s="812"/>
      <c r="AE101" s="812"/>
      <c r="AF101" s="812"/>
      <c r="AG101" s="812"/>
      <c r="AH101" s="812"/>
      <c r="AI101" s="812"/>
      <c r="AJ101" s="812"/>
      <c r="AK101" s="813"/>
      <c r="AL101" s="18"/>
      <c r="AM101" s="809"/>
      <c r="AN101" s="810"/>
      <c r="AO101" s="810"/>
      <c r="AP101" s="810"/>
      <c r="AQ101" s="810"/>
      <c r="AR101" s="810"/>
      <c r="AS101" s="810"/>
      <c r="AT101" s="810"/>
      <c r="AU101" s="810"/>
      <c r="AV101" s="810"/>
      <c r="AW101" s="810"/>
      <c r="AX101" s="811"/>
      <c r="AY101" s="165"/>
      <c r="BA101" s="172"/>
    </row>
    <row r="102" spans="1:56" s="167" customFormat="1" ht="6" customHeight="1">
      <c r="A102" s="19"/>
      <c r="B102" s="56"/>
      <c r="C102" s="23"/>
      <c r="D102" s="23"/>
      <c r="E102" s="23"/>
      <c r="F102" s="23"/>
      <c r="G102" s="23"/>
      <c r="H102" s="23"/>
      <c r="I102" s="23"/>
      <c r="J102" s="23"/>
      <c r="K102" s="23"/>
      <c r="L102" s="23"/>
      <c r="M102" s="23"/>
      <c r="N102" s="23"/>
      <c r="O102" s="23"/>
      <c r="P102" s="23"/>
      <c r="Q102" s="23"/>
      <c r="R102" s="23"/>
      <c r="S102" s="23"/>
      <c r="T102" s="23"/>
      <c r="U102" s="23"/>
      <c r="V102" s="23"/>
      <c r="W102" s="23"/>
      <c r="X102" s="23"/>
      <c r="Y102" s="23"/>
      <c r="Z102" s="23"/>
      <c r="AA102" s="23"/>
      <c r="AB102" s="23"/>
      <c r="AC102" s="23"/>
      <c r="AD102" s="23"/>
      <c r="AE102" s="23"/>
      <c r="AF102" s="23"/>
      <c r="AG102" s="23"/>
      <c r="AH102" s="23"/>
      <c r="AI102" s="23"/>
      <c r="AJ102" s="23"/>
      <c r="AK102" s="23"/>
      <c r="AL102" s="18"/>
      <c r="AM102" s="165"/>
      <c r="AN102" s="18"/>
      <c r="AO102" s="19"/>
      <c r="AP102" s="19"/>
      <c r="AQ102" s="19"/>
      <c r="AR102" s="19"/>
      <c r="AS102" s="19"/>
      <c r="AT102" s="19"/>
      <c r="AU102" s="19"/>
      <c r="AV102" s="19"/>
      <c r="AW102" s="19"/>
      <c r="AX102" s="19"/>
      <c r="AY102" s="19"/>
      <c r="AZ102" s="13"/>
      <c r="BA102" s="172"/>
    </row>
    <row r="103" spans="1:56" s="24" customFormat="1" ht="19.899999999999999" customHeight="1">
      <c r="A103" s="57"/>
      <c r="B103" s="147" t="s">
        <v>2474</v>
      </c>
      <c r="C103" s="147"/>
      <c r="D103" s="147"/>
      <c r="E103" s="147"/>
      <c r="F103" s="147"/>
      <c r="G103" s="147"/>
      <c r="H103" s="147"/>
      <c r="I103" s="147"/>
      <c r="J103" s="28"/>
      <c r="K103" s="28"/>
      <c r="L103" s="28"/>
      <c r="M103" s="28"/>
      <c r="N103" s="28"/>
      <c r="O103" s="28"/>
      <c r="P103" s="28"/>
      <c r="Q103" s="28"/>
      <c r="R103" s="28"/>
      <c r="S103" s="28"/>
      <c r="T103" s="28"/>
      <c r="U103" s="28"/>
      <c r="V103" s="28"/>
      <c r="W103" s="28"/>
      <c r="X103" s="28"/>
      <c r="Y103" s="28"/>
      <c r="Z103" s="28"/>
      <c r="AA103" s="28"/>
      <c r="AB103" s="28"/>
      <c r="AC103" s="28"/>
      <c r="AD103" s="28"/>
      <c r="AE103" s="28"/>
      <c r="AF103" s="28"/>
      <c r="AG103" s="28"/>
      <c r="AH103" s="28"/>
      <c r="AI103" s="28"/>
      <c r="AJ103" s="28"/>
      <c r="AK103" s="18"/>
      <c r="AL103" s="57"/>
      <c r="AM103" s="814"/>
      <c r="AN103" s="814"/>
      <c r="AO103" s="814"/>
      <c r="AP103" s="814"/>
      <c r="AQ103" s="814"/>
      <c r="AR103" s="814"/>
      <c r="AS103" s="814"/>
      <c r="AT103" s="814"/>
      <c r="AU103" s="814"/>
      <c r="AV103" s="814"/>
      <c r="AW103" s="814"/>
      <c r="AX103" s="814"/>
      <c r="AY103" s="814"/>
      <c r="BA103" s="784" t="s">
        <v>66</v>
      </c>
      <c r="BB103" s="784"/>
      <c r="BC103" s="784"/>
      <c r="BD103" s="784"/>
    </row>
    <row r="104" spans="1:56" ht="27.6" customHeight="1" thickBot="1">
      <c r="A104" s="81"/>
      <c r="B104" s="104" t="s">
        <v>2268</v>
      </c>
      <c r="C104" s="78"/>
      <c r="D104" s="78"/>
      <c r="E104" s="78"/>
      <c r="F104" s="78"/>
      <c r="G104" s="78"/>
      <c r="H104" s="78"/>
      <c r="I104" s="78"/>
      <c r="J104" s="78"/>
      <c r="K104" s="78"/>
      <c r="L104" s="78"/>
      <c r="M104" s="78"/>
      <c r="N104" s="78"/>
      <c r="O104" s="78"/>
      <c r="P104" s="78"/>
      <c r="Q104" s="78"/>
      <c r="R104" s="78"/>
      <c r="S104" s="78"/>
      <c r="T104" s="78"/>
      <c r="U104" s="78"/>
      <c r="V104" s="78"/>
      <c r="W104" s="78"/>
      <c r="X104" s="78"/>
      <c r="Y104" s="78"/>
      <c r="Z104" s="78"/>
      <c r="AA104" s="78"/>
      <c r="AB104" s="78"/>
      <c r="AC104" s="78"/>
      <c r="AD104" s="78"/>
      <c r="AE104" s="78"/>
      <c r="AF104" s="78"/>
      <c r="AG104" s="78"/>
      <c r="AH104" s="78"/>
      <c r="AI104" s="78"/>
      <c r="AJ104" s="78"/>
      <c r="AK104" s="276"/>
      <c r="AM104" s="814"/>
      <c r="AN104" s="814"/>
      <c r="AO104" s="814"/>
      <c r="AP104" s="814"/>
      <c r="AQ104" s="814"/>
      <c r="AR104" s="814"/>
      <c r="AS104" s="814"/>
      <c r="AT104" s="814"/>
      <c r="AU104" s="814"/>
      <c r="AV104" s="814"/>
      <c r="AW104" s="814"/>
      <c r="AX104" s="814"/>
      <c r="AY104" s="814"/>
    </row>
    <row r="105" spans="1:56" ht="229.5" customHeight="1" thickBot="1">
      <c r="A105" s="81"/>
      <c r="B105" s="785" t="s">
        <v>2528</v>
      </c>
      <c r="C105" s="786"/>
      <c r="D105" s="786"/>
      <c r="E105" s="786"/>
      <c r="F105" s="786"/>
      <c r="G105" s="786"/>
      <c r="H105" s="786"/>
      <c r="I105" s="786"/>
      <c r="J105" s="786"/>
      <c r="K105" s="786"/>
      <c r="L105" s="786"/>
      <c r="M105" s="786"/>
      <c r="N105" s="786"/>
      <c r="O105" s="786"/>
      <c r="P105" s="786"/>
      <c r="Q105" s="786"/>
      <c r="R105" s="786"/>
      <c r="S105" s="786"/>
      <c r="T105" s="786"/>
      <c r="U105" s="786"/>
      <c r="V105" s="786"/>
      <c r="W105" s="786"/>
      <c r="X105" s="786"/>
      <c r="Y105" s="786"/>
      <c r="Z105" s="786"/>
      <c r="AA105" s="786"/>
      <c r="AB105" s="786"/>
      <c r="AC105" s="786"/>
      <c r="AD105" s="786"/>
      <c r="AE105" s="786"/>
      <c r="AF105" s="786"/>
      <c r="AG105" s="786"/>
      <c r="AH105" s="786"/>
      <c r="AI105" s="786"/>
      <c r="AJ105" s="786"/>
      <c r="AK105" s="537" t="str">
        <f>IF(H6="","",IF(AND(OR('別紙様式2-2（個票（４、５月））'!AK10="○",'別紙様式2-2（個票（４、５月））'!AK10=""),OR('別紙様式2-3（個票（６月以降））'!AK10="○",'別紙様式2-3（個票（６月以降））'!AK10="")),"○","×"))</f>
        <v>○</v>
      </c>
      <c r="AR105" s="85"/>
    </row>
    <row r="106" spans="1:56" s="13" customFormat="1" ht="7.15" customHeight="1">
      <c r="A106" s="19"/>
      <c r="B106" s="78"/>
      <c r="C106" s="78"/>
      <c r="D106" s="78"/>
      <c r="E106" s="78"/>
      <c r="F106" s="78"/>
      <c r="G106" s="78"/>
      <c r="H106" s="78"/>
      <c r="I106" s="78"/>
      <c r="J106" s="78"/>
      <c r="K106" s="78"/>
      <c r="L106" s="78"/>
      <c r="M106" s="78"/>
      <c r="N106" s="78"/>
      <c r="O106" s="78"/>
      <c r="P106" s="78"/>
      <c r="Q106" s="78"/>
      <c r="R106" s="78"/>
      <c r="S106" s="78"/>
      <c r="T106" s="78"/>
      <c r="U106" s="78"/>
      <c r="V106" s="78"/>
      <c r="W106" s="78"/>
      <c r="X106" s="78"/>
      <c r="Y106" s="78"/>
      <c r="Z106" s="78"/>
      <c r="AA106" s="78"/>
      <c r="AB106" s="78"/>
      <c r="AC106" s="78"/>
      <c r="AD106" s="78"/>
      <c r="AE106" s="78"/>
      <c r="AF106" s="78"/>
      <c r="AG106" s="78"/>
      <c r="AH106" s="78"/>
      <c r="AI106" s="78"/>
      <c r="AJ106" s="78"/>
      <c r="AK106" s="276"/>
      <c r="AL106" s="19"/>
      <c r="AM106" s="54"/>
      <c r="AN106" s="54"/>
      <c r="AO106" s="54"/>
      <c r="AP106" s="54"/>
      <c r="AQ106" s="54"/>
      <c r="AR106" s="54"/>
      <c r="AS106" s="54"/>
      <c r="AT106" s="54"/>
      <c r="AU106" s="54"/>
      <c r="AV106" s="54"/>
      <c r="AW106" s="54"/>
      <c r="AX106" s="54"/>
      <c r="AY106" s="54"/>
      <c r="BA106" s="275"/>
      <c r="BB106" s="275"/>
      <c r="BC106" s="275"/>
      <c r="BD106" s="275"/>
    </row>
    <row r="107" spans="1:56" s="13" customFormat="1" ht="20.100000000000001" customHeight="1" thickBot="1">
      <c r="A107" s="19"/>
      <c r="B107" s="575" t="s">
        <v>2475</v>
      </c>
      <c r="C107" s="78"/>
      <c r="D107" s="78"/>
      <c r="E107" s="78"/>
      <c r="F107" s="78"/>
      <c r="G107" s="78"/>
      <c r="H107" s="78"/>
      <c r="I107" s="78"/>
      <c r="J107" s="78"/>
      <c r="K107" s="78"/>
      <c r="L107" s="78"/>
      <c r="M107" s="78"/>
      <c r="N107" s="78"/>
      <c r="O107" s="78"/>
      <c r="P107" s="78"/>
      <c r="Q107" s="78"/>
      <c r="R107" s="78"/>
      <c r="S107" s="78"/>
      <c r="T107" s="78"/>
      <c r="U107" s="78"/>
      <c r="V107" s="78"/>
      <c r="W107" s="78"/>
      <c r="X107" s="78"/>
      <c r="Y107" s="78"/>
      <c r="Z107" s="78"/>
      <c r="AA107" s="78"/>
      <c r="AB107" s="78"/>
      <c r="AC107" s="78"/>
      <c r="AD107" s="78"/>
      <c r="AE107" s="78"/>
      <c r="AF107" s="78"/>
      <c r="AG107" s="78"/>
      <c r="AH107" s="78"/>
      <c r="AI107" s="78"/>
      <c r="AJ107" s="78"/>
      <c r="AK107" s="276"/>
      <c r="AL107" s="19"/>
      <c r="AM107" s="54"/>
      <c r="AN107" s="54"/>
      <c r="AO107" s="54"/>
      <c r="AP107" s="54"/>
      <c r="AQ107" s="54"/>
      <c r="AR107" s="54"/>
      <c r="AS107" s="54"/>
      <c r="AT107" s="54"/>
      <c r="AU107" s="54"/>
      <c r="AV107" s="54"/>
      <c r="AW107" s="54"/>
      <c r="AX107" s="54"/>
      <c r="AY107" s="54"/>
      <c r="BA107" s="275"/>
      <c r="BB107" s="275"/>
      <c r="BC107" s="275"/>
      <c r="BD107" s="275"/>
    </row>
    <row r="108" spans="1:56" s="13" customFormat="1" ht="24.95" customHeight="1" thickBot="1">
      <c r="A108" s="573"/>
      <c r="B108" s="529" t="s">
        <v>2476</v>
      </c>
      <c r="C108" s="734" t="s">
        <v>2477</v>
      </c>
      <c r="D108" s="735"/>
      <c r="E108" s="735"/>
      <c r="F108" s="735"/>
      <c r="G108" s="735"/>
      <c r="H108" s="735"/>
      <c r="I108" s="735"/>
      <c r="J108" s="735"/>
      <c r="K108" s="735"/>
      <c r="L108" s="735"/>
      <c r="M108" s="735"/>
      <c r="N108" s="735"/>
      <c r="O108" s="735"/>
      <c r="P108" s="735"/>
      <c r="Q108" s="735"/>
      <c r="R108" s="735"/>
      <c r="S108" s="735"/>
      <c r="T108" s="735"/>
      <c r="U108" s="735"/>
      <c r="V108" s="736"/>
      <c r="W108" s="794">
        <f>IFERROR('別紙様式2-3（個票（６月以降））'!BO10,"")</f>
        <v>743702</v>
      </c>
      <c r="X108" s="795"/>
      <c r="Y108" s="795"/>
      <c r="Z108" s="795"/>
      <c r="AA108" s="574" t="s">
        <v>54</v>
      </c>
      <c r="AB108" s="78"/>
      <c r="AC108" s="619"/>
      <c r="AD108" s="78"/>
      <c r="AE108" s="78"/>
      <c r="AF108" s="78"/>
      <c r="AG108" s="78"/>
      <c r="AH108" s="78"/>
      <c r="AI108" s="78"/>
      <c r="AJ108" s="78"/>
      <c r="AK108" s="276"/>
      <c r="AL108" s="19"/>
      <c r="AM108" s="54"/>
      <c r="AN108" s="54"/>
      <c r="AO108" s="54"/>
      <c r="AP108" s="54"/>
      <c r="AQ108" s="54"/>
      <c r="AR108" s="54"/>
      <c r="AS108" s="54"/>
      <c r="AT108" s="54"/>
      <c r="AU108" s="54"/>
      <c r="AV108" s="54"/>
      <c r="AW108" s="54"/>
      <c r="AX108" s="54"/>
      <c r="AY108" s="54"/>
      <c r="BA108" s="275"/>
      <c r="BB108" s="275"/>
      <c r="BC108" s="275"/>
      <c r="BD108" s="275"/>
    </row>
    <row r="109" spans="1:56" s="13" customFormat="1" ht="24.95" customHeight="1" thickBot="1">
      <c r="A109" s="573"/>
      <c r="B109" s="591" t="s">
        <v>55</v>
      </c>
      <c r="C109" s="783" t="s">
        <v>2509</v>
      </c>
      <c r="D109" s="783"/>
      <c r="E109" s="783"/>
      <c r="F109" s="783"/>
      <c r="G109" s="783"/>
      <c r="H109" s="783"/>
      <c r="I109" s="783"/>
      <c r="J109" s="783"/>
      <c r="K109" s="783"/>
      <c r="L109" s="783"/>
      <c r="M109" s="783"/>
      <c r="N109" s="783"/>
      <c r="O109" s="783"/>
      <c r="P109" s="783"/>
      <c r="Q109" s="783"/>
      <c r="R109" s="783"/>
      <c r="S109" s="783"/>
      <c r="T109" s="783"/>
      <c r="U109" s="783"/>
      <c r="V109" s="948"/>
      <c r="W109" s="794">
        <f>IFERROR('別紙様式2-2（個票（４、５月））'!BJ10+'別紙様式2-3（個票（６月以降））'!BV10,"")</f>
        <v>11979009</v>
      </c>
      <c r="X109" s="795"/>
      <c r="Y109" s="795"/>
      <c r="Z109" s="949"/>
      <c r="AA109" s="574"/>
      <c r="AB109" s="78"/>
      <c r="AC109" s="619"/>
      <c r="AD109" s="78"/>
      <c r="AE109" s="78"/>
      <c r="AF109" s="78"/>
      <c r="AG109" s="78"/>
      <c r="AH109" s="78"/>
      <c r="AI109" s="78"/>
      <c r="AJ109" s="78"/>
      <c r="AK109" s="276"/>
      <c r="AL109" s="19"/>
      <c r="AM109" s="54"/>
      <c r="AN109" s="54"/>
      <c r="AO109" s="54"/>
      <c r="AP109" s="54"/>
      <c r="AQ109" s="54"/>
      <c r="AR109" s="54"/>
      <c r="AS109" s="54"/>
      <c r="AT109" s="54"/>
      <c r="AU109" s="54"/>
      <c r="AV109" s="54"/>
      <c r="AW109" s="54"/>
      <c r="AX109" s="54"/>
      <c r="AY109" s="54"/>
      <c r="BA109" s="275"/>
      <c r="BB109" s="275"/>
      <c r="BC109" s="275"/>
      <c r="BD109" s="275"/>
    </row>
    <row r="110" spans="1:56" s="13" customFormat="1" ht="24.95" customHeight="1" thickBot="1">
      <c r="A110" s="573"/>
      <c r="B110" s="591" t="s">
        <v>2521</v>
      </c>
      <c r="C110" s="783" t="s">
        <v>2524</v>
      </c>
      <c r="D110" s="783"/>
      <c r="E110" s="783"/>
      <c r="F110" s="783"/>
      <c r="G110" s="783"/>
      <c r="H110" s="783"/>
      <c r="I110" s="783"/>
      <c r="J110" s="783"/>
      <c r="K110" s="783"/>
      <c r="L110" s="783"/>
      <c r="M110" s="783"/>
      <c r="N110" s="783"/>
      <c r="O110" s="783"/>
      <c r="P110" s="783"/>
      <c r="Q110" s="783"/>
      <c r="R110" s="783"/>
      <c r="S110" s="783"/>
      <c r="T110" s="783"/>
      <c r="U110" s="783"/>
      <c r="V110" s="948"/>
      <c r="W110" s="794">
        <f>IFERROR(W108+W109,"")</f>
        <v>12722711</v>
      </c>
      <c r="X110" s="795"/>
      <c r="Y110" s="795"/>
      <c r="Z110" s="949"/>
      <c r="AA110" s="574"/>
      <c r="AB110" s="78" t="s">
        <v>56</v>
      </c>
      <c r="AC110" s="894" t="str">
        <f>IF(H6="", "", IFERROR(IF(W111&gt;=W110,"○","×"),""))</f>
        <v>○</v>
      </c>
      <c r="AD110" s="78"/>
      <c r="AE110" s="78"/>
      <c r="AF110" s="78"/>
      <c r="AG110" s="78"/>
      <c r="AH110" s="78"/>
      <c r="AI110" s="78"/>
      <c r="AJ110" s="78"/>
      <c r="AK110" s="276"/>
      <c r="AL110" s="19"/>
      <c r="AM110" s="54"/>
      <c r="AN110" s="54"/>
      <c r="AO110" s="54"/>
      <c r="AP110" s="54"/>
      <c r="AQ110" s="54"/>
      <c r="AR110" s="54"/>
      <c r="AS110" s="54"/>
      <c r="AT110" s="54"/>
      <c r="AU110" s="54"/>
      <c r="AV110" s="54"/>
      <c r="AW110" s="54"/>
      <c r="AX110" s="54"/>
      <c r="AY110" s="54"/>
      <c r="BA110" s="275"/>
      <c r="BB110" s="275"/>
      <c r="BC110" s="275"/>
      <c r="BD110" s="275"/>
    </row>
    <row r="111" spans="1:56" s="13" customFormat="1" ht="24.95" customHeight="1" thickBot="1">
      <c r="A111" s="573"/>
      <c r="B111" s="591" t="s">
        <v>2523</v>
      </c>
      <c r="C111" s="731" t="s">
        <v>2522</v>
      </c>
      <c r="D111" s="732"/>
      <c r="E111" s="732"/>
      <c r="F111" s="732"/>
      <c r="G111" s="732"/>
      <c r="H111" s="732"/>
      <c r="I111" s="732"/>
      <c r="J111" s="732"/>
      <c r="K111" s="732"/>
      <c r="L111" s="732"/>
      <c r="M111" s="732"/>
      <c r="N111" s="732"/>
      <c r="O111" s="732"/>
      <c r="P111" s="732"/>
      <c r="Q111" s="732"/>
      <c r="R111" s="732"/>
      <c r="S111" s="732"/>
      <c r="T111" s="732"/>
      <c r="U111" s="732"/>
      <c r="V111" s="733"/>
      <c r="W111" s="815">
        <f>T32</f>
        <v>100000000</v>
      </c>
      <c r="X111" s="815"/>
      <c r="Y111" s="815"/>
      <c r="Z111" s="815"/>
      <c r="AA111" s="574" t="s">
        <v>54</v>
      </c>
      <c r="AB111" s="78" t="s">
        <v>56</v>
      </c>
      <c r="AC111" s="906"/>
      <c r="AD111" s="78"/>
      <c r="AE111" s="78"/>
      <c r="AF111" s="78"/>
      <c r="AG111" s="78"/>
      <c r="AH111" s="78"/>
      <c r="AI111" s="78"/>
      <c r="AJ111" s="78"/>
      <c r="AK111" s="276"/>
      <c r="AL111" s="19"/>
      <c r="AM111" s="54"/>
      <c r="AN111" s="54"/>
      <c r="AO111" s="54"/>
      <c r="AP111" s="54"/>
      <c r="AQ111" s="54"/>
      <c r="AR111" s="54"/>
      <c r="AS111" s="54"/>
      <c r="AT111" s="54"/>
      <c r="AU111" s="54"/>
      <c r="AV111" s="54"/>
      <c r="AW111" s="54"/>
      <c r="AX111" s="54"/>
      <c r="AY111" s="54"/>
      <c r="BA111" s="275"/>
      <c r="BB111" s="275"/>
      <c r="BC111" s="275"/>
      <c r="BD111" s="275"/>
    </row>
    <row r="112" spans="1:56" s="13" customFormat="1" ht="7.15" customHeight="1">
      <c r="A112" s="19"/>
      <c r="B112" s="78"/>
      <c r="C112" s="78"/>
      <c r="D112" s="78"/>
      <c r="E112" s="78"/>
      <c r="F112" s="78"/>
      <c r="G112" s="78"/>
      <c r="H112" s="78"/>
      <c r="I112" s="78"/>
      <c r="J112" s="78"/>
      <c r="K112" s="78"/>
      <c r="L112" s="78"/>
      <c r="M112" s="78"/>
      <c r="N112" s="78"/>
      <c r="O112" s="78"/>
      <c r="P112" s="78"/>
      <c r="Q112" s="78"/>
      <c r="R112" s="78"/>
      <c r="S112" s="78"/>
      <c r="T112" s="78"/>
      <c r="U112" s="78"/>
      <c r="V112" s="78"/>
      <c r="W112" s="78"/>
      <c r="X112" s="78"/>
      <c r="Y112" s="78"/>
      <c r="Z112" s="78"/>
      <c r="AA112" s="78"/>
      <c r="AB112" s="78"/>
      <c r="AC112" s="78"/>
      <c r="AD112" s="78"/>
      <c r="AE112" s="78"/>
      <c r="AF112" s="78"/>
      <c r="AG112" s="78"/>
      <c r="AH112" s="78"/>
      <c r="AI112" s="78"/>
      <c r="AJ112" s="78"/>
      <c r="AK112" s="276"/>
      <c r="AL112" s="19"/>
      <c r="AM112" s="54"/>
      <c r="AN112" s="54"/>
      <c r="AO112" s="54"/>
      <c r="AP112" s="54"/>
      <c r="AQ112" s="54"/>
      <c r="AR112" s="54"/>
      <c r="AS112" s="54"/>
      <c r="AT112" s="54"/>
      <c r="AU112" s="54"/>
      <c r="AV112" s="54"/>
      <c r="AW112" s="54"/>
      <c r="AX112" s="54"/>
      <c r="AY112" s="54"/>
      <c r="BA112" s="275"/>
      <c r="BB112" s="275"/>
      <c r="BC112" s="275"/>
      <c r="BD112" s="275"/>
    </row>
    <row r="113" spans="1:54" s="13" customFormat="1" ht="19.149999999999999" customHeight="1">
      <c r="A113" s="18"/>
      <c r="B113" s="21" t="s">
        <v>101</v>
      </c>
      <c r="C113" s="21"/>
      <c r="D113" s="21"/>
      <c r="E113" s="21"/>
      <c r="F113" s="21"/>
      <c r="G113" s="21"/>
      <c r="H113" s="21"/>
      <c r="I113" s="21"/>
      <c r="J113" s="119"/>
      <c r="K113" s="119"/>
      <c r="L113" s="119"/>
      <c r="M113" s="119"/>
      <c r="N113" s="119"/>
      <c r="O113" s="119"/>
      <c r="P113" s="119"/>
      <c r="Q113" s="119"/>
      <c r="R113" s="119"/>
      <c r="S113" s="119"/>
      <c r="T113" s="119"/>
      <c r="U113" s="119"/>
      <c r="V113" s="119"/>
      <c r="W113" s="119"/>
      <c r="X113" s="119"/>
      <c r="Y113" s="119"/>
      <c r="Z113" s="119"/>
      <c r="AA113" s="119"/>
      <c r="AB113" s="119"/>
      <c r="AC113" s="119"/>
      <c r="AD113" s="119"/>
      <c r="AE113" s="119"/>
      <c r="AF113" s="119"/>
      <c r="AG113" s="119"/>
      <c r="AH113" s="119"/>
      <c r="AI113" s="119"/>
      <c r="AJ113" s="119"/>
      <c r="AK113" s="119"/>
      <c r="AL113" s="18"/>
      <c r="AM113" s="19"/>
      <c r="AN113" s="18"/>
      <c r="AO113" s="18"/>
      <c r="AP113" s="18"/>
      <c r="AQ113" s="18"/>
      <c r="AR113" s="18"/>
      <c r="AS113" s="18"/>
      <c r="AT113" s="18"/>
      <c r="AU113" s="18"/>
      <c r="AV113" s="18"/>
      <c r="AW113" s="18"/>
      <c r="AX113" s="18"/>
      <c r="AY113" s="18"/>
      <c r="AZ113"/>
      <c r="BA113" s="173"/>
    </row>
    <row r="114" spans="1:54" ht="16.5" customHeight="1" thickBot="1">
      <c r="A114" s="19"/>
      <c r="B114" s="135" t="s">
        <v>58</v>
      </c>
      <c r="C114" s="16" t="s">
        <v>102</v>
      </c>
      <c r="D114" s="15"/>
      <c r="E114" s="15"/>
      <c r="F114" s="15"/>
      <c r="G114" s="15"/>
      <c r="H114" s="15"/>
      <c r="I114" s="15"/>
      <c r="J114" s="15"/>
      <c r="K114" s="15"/>
      <c r="L114" s="15"/>
      <c r="M114" s="15"/>
      <c r="N114" s="15"/>
      <c r="O114" s="15"/>
      <c r="P114" s="15"/>
      <c r="Q114" s="15"/>
      <c r="R114" s="15"/>
      <c r="S114" s="15"/>
      <c r="T114" s="15"/>
      <c r="U114" s="15"/>
      <c r="V114" s="15"/>
      <c r="W114" s="15"/>
      <c r="X114" s="15"/>
      <c r="Y114" s="15"/>
      <c r="Z114" s="15"/>
      <c r="AA114" s="15"/>
      <c r="AB114" s="15"/>
      <c r="AC114" s="15"/>
      <c r="AD114" s="15"/>
      <c r="AE114" s="15"/>
      <c r="AF114" s="15"/>
      <c r="AG114" s="15"/>
      <c r="AH114" s="15"/>
      <c r="AI114" s="15"/>
      <c r="AJ114" s="15"/>
      <c r="AK114" s="18"/>
      <c r="AL114" s="18"/>
      <c r="AM114" s="18"/>
      <c r="AN114" s="158"/>
      <c r="AO114" s="158"/>
      <c r="AP114" s="158"/>
      <c r="AQ114" s="158"/>
      <c r="AR114" s="158"/>
      <c r="AS114" s="158"/>
      <c r="AT114" s="158"/>
      <c r="AU114" s="158"/>
      <c r="AV114" s="158"/>
      <c r="AW114" s="158"/>
      <c r="AX114" s="158"/>
      <c r="AY114" s="158"/>
      <c r="AZ114" s="13"/>
      <c r="BA114" s="12"/>
    </row>
    <row r="115" spans="1:54" s="13" customFormat="1" ht="39.6" customHeight="1" thickBot="1">
      <c r="A115" s="19"/>
      <c r="B115" s="531" t="s">
        <v>103</v>
      </c>
      <c r="C115" s="545"/>
      <c r="D115" s="545"/>
      <c r="E115" s="545"/>
      <c r="F115" s="545"/>
      <c r="G115" s="545"/>
      <c r="H115" s="545"/>
      <c r="I115" s="545"/>
      <c r="J115" s="545"/>
      <c r="K115" s="545"/>
      <c r="L115" s="545"/>
      <c r="M115" s="545"/>
      <c r="N115" s="545"/>
      <c r="O115" s="545"/>
      <c r="P115" s="545"/>
      <c r="Q115" s="545"/>
      <c r="R115" s="545"/>
      <c r="S115" s="545"/>
      <c r="T115" s="545"/>
      <c r="U115" s="545"/>
      <c r="V115" s="545"/>
      <c r="W115" s="545"/>
      <c r="X115" s="545"/>
      <c r="Y115" s="545"/>
      <c r="Z115" s="545"/>
      <c r="AA115" s="545"/>
      <c r="AB115" s="545"/>
      <c r="AC115" s="545"/>
      <c r="AD115" s="546"/>
      <c r="AE115" s="787" t="s">
        <v>104</v>
      </c>
      <c r="AF115" s="788"/>
      <c r="AG115" s="788"/>
      <c r="AH115" s="788"/>
      <c r="AI115" s="788"/>
      <c r="AJ115" s="789"/>
      <c r="AK115" s="537" t="str">
        <f>IF(H6="", "", IF(AND(BA116=TRUE,OR(BA117=TRUE),BA118=TRUE,BA119=TRUE, BA121=TRUE, BA120=TRUE,BA122=TRUE),"○","×"))</f>
        <v>○</v>
      </c>
      <c r="AL115" s="18"/>
      <c r="AM115" s="790" t="s">
        <v>105</v>
      </c>
      <c r="AN115" s="791"/>
      <c r="AO115" s="791"/>
      <c r="AP115" s="791"/>
      <c r="AQ115" s="791"/>
      <c r="AR115" s="791"/>
      <c r="AS115" s="791"/>
      <c r="AT115" s="791"/>
      <c r="AU115" s="791"/>
      <c r="AV115" s="791"/>
      <c r="AW115" s="791"/>
      <c r="AX115" s="791"/>
      <c r="AY115" s="792"/>
      <c r="BA115" s="174"/>
    </row>
    <row r="116" spans="1:54" s="13" customFormat="1" ht="48.75" customHeight="1">
      <c r="A116" s="151"/>
      <c r="B116" s="175"/>
      <c r="C116" s="782" t="s">
        <v>2214</v>
      </c>
      <c r="D116" s="783"/>
      <c r="E116" s="783"/>
      <c r="F116" s="783"/>
      <c r="G116" s="783"/>
      <c r="H116" s="783"/>
      <c r="I116" s="783"/>
      <c r="J116" s="783"/>
      <c r="K116" s="783"/>
      <c r="L116" s="783"/>
      <c r="M116" s="783"/>
      <c r="N116" s="783"/>
      <c r="O116" s="783"/>
      <c r="P116" s="783"/>
      <c r="Q116" s="783"/>
      <c r="R116" s="783"/>
      <c r="S116" s="783"/>
      <c r="T116" s="783"/>
      <c r="U116" s="783"/>
      <c r="V116" s="783"/>
      <c r="W116" s="783"/>
      <c r="X116" s="783"/>
      <c r="Y116" s="783"/>
      <c r="Z116" s="783"/>
      <c r="AA116" s="783"/>
      <c r="AB116" s="783"/>
      <c r="AC116" s="783"/>
      <c r="AD116" s="731"/>
      <c r="AE116" s="773" t="s">
        <v>106</v>
      </c>
      <c r="AF116" s="774"/>
      <c r="AG116" s="774"/>
      <c r="AH116" s="774"/>
      <c r="AI116" s="774"/>
      <c r="AJ116" s="774"/>
      <c r="AK116" s="793"/>
      <c r="AL116" s="18"/>
      <c r="AM116" s="19"/>
      <c r="AN116" s="542"/>
      <c r="AO116" s="542"/>
      <c r="AP116" s="542"/>
      <c r="AQ116" s="542"/>
      <c r="AR116" s="542"/>
      <c r="AS116" s="542"/>
      <c r="AT116" s="542"/>
      <c r="AU116" s="542"/>
      <c r="AV116" s="542"/>
      <c r="AW116" s="19"/>
      <c r="AX116" s="19"/>
      <c r="AY116" s="19"/>
      <c r="AZ116" s="153"/>
      <c r="BA116" s="176" t="b">
        <v>1</v>
      </c>
      <c r="BB116" s="177"/>
    </row>
    <row r="117" spans="1:54" s="13" customFormat="1" ht="37.15" customHeight="1">
      <c r="A117" s="19"/>
      <c r="B117" s="178"/>
      <c r="C117" s="782" t="s">
        <v>2269</v>
      </c>
      <c r="D117" s="783"/>
      <c r="E117" s="783"/>
      <c r="F117" s="783"/>
      <c r="G117" s="783"/>
      <c r="H117" s="783"/>
      <c r="I117" s="783"/>
      <c r="J117" s="783"/>
      <c r="K117" s="783"/>
      <c r="L117" s="783"/>
      <c r="M117" s="783"/>
      <c r="N117" s="783"/>
      <c r="O117" s="783"/>
      <c r="P117" s="783"/>
      <c r="Q117" s="783"/>
      <c r="R117" s="783"/>
      <c r="S117" s="783"/>
      <c r="T117" s="783"/>
      <c r="U117" s="783"/>
      <c r="V117" s="783"/>
      <c r="W117" s="783"/>
      <c r="X117" s="783"/>
      <c r="Y117" s="783"/>
      <c r="Z117" s="783"/>
      <c r="AA117" s="783"/>
      <c r="AB117" s="783"/>
      <c r="AC117" s="783"/>
      <c r="AD117" s="731"/>
      <c r="AE117" s="773" t="s">
        <v>106</v>
      </c>
      <c r="AF117" s="774"/>
      <c r="AG117" s="774"/>
      <c r="AH117" s="774"/>
      <c r="AI117" s="774"/>
      <c r="AJ117" s="774"/>
      <c r="AK117" s="774"/>
      <c r="AL117" s="18"/>
      <c r="AM117" s="19"/>
      <c r="AN117" s="542"/>
      <c r="AO117" s="542"/>
      <c r="AP117" s="542"/>
      <c r="AQ117" s="542"/>
      <c r="AR117" s="542"/>
      <c r="AS117" s="542"/>
      <c r="AT117" s="542"/>
      <c r="AU117" s="542"/>
      <c r="AV117" s="542"/>
      <c r="AW117" s="19"/>
      <c r="AX117" s="19"/>
      <c r="AY117" s="19"/>
      <c r="BA117" s="152" t="b">
        <v>1</v>
      </c>
    </row>
    <row r="118" spans="1:54" s="13" customFormat="1" ht="36.6" customHeight="1">
      <c r="A118" s="19"/>
      <c r="B118" s="178"/>
      <c r="C118" s="770" t="s">
        <v>2196</v>
      </c>
      <c r="D118" s="771"/>
      <c r="E118" s="771"/>
      <c r="F118" s="771"/>
      <c r="G118" s="771"/>
      <c r="H118" s="771"/>
      <c r="I118" s="771"/>
      <c r="J118" s="771"/>
      <c r="K118" s="771"/>
      <c r="L118" s="771"/>
      <c r="M118" s="771"/>
      <c r="N118" s="771"/>
      <c r="O118" s="771"/>
      <c r="P118" s="771"/>
      <c r="Q118" s="771"/>
      <c r="R118" s="771"/>
      <c r="S118" s="771"/>
      <c r="T118" s="771"/>
      <c r="U118" s="771"/>
      <c r="V118" s="771"/>
      <c r="W118" s="771"/>
      <c r="X118" s="771"/>
      <c r="Y118" s="771"/>
      <c r="Z118" s="771"/>
      <c r="AA118" s="771"/>
      <c r="AB118" s="771"/>
      <c r="AC118" s="771"/>
      <c r="AD118" s="772"/>
      <c r="AE118" s="773" t="s">
        <v>107</v>
      </c>
      <c r="AF118" s="774"/>
      <c r="AG118" s="774"/>
      <c r="AH118" s="774"/>
      <c r="AI118" s="774"/>
      <c r="AJ118" s="774"/>
      <c r="AK118" s="774"/>
      <c r="AL118" s="18"/>
      <c r="AM118" s="19"/>
      <c r="AN118" s="19"/>
      <c r="AO118" s="19"/>
      <c r="AP118" s="542"/>
      <c r="AQ118" s="19"/>
      <c r="AR118" s="19"/>
      <c r="AS118" s="19"/>
      <c r="AT118" s="19"/>
      <c r="AU118" s="19"/>
      <c r="AV118" s="19"/>
      <c r="AW118" s="19"/>
      <c r="AX118" s="19"/>
      <c r="AY118" s="19"/>
      <c r="BA118" s="152" t="b">
        <v>1</v>
      </c>
    </row>
    <row r="119" spans="1:54" s="13" customFormat="1" ht="28.9" customHeight="1">
      <c r="A119" s="19"/>
      <c r="B119" s="178"/>
      <c r="C119" s="770" t="s">
        <v>108</v>
      </c>
      <c r="D119" s="771"/>
      <c r="E119" s="771"/>
      <c r="F119" s="771"/>
      <c r="G119" s="771"/>
      <c r="H119" s="771"/>
      <c r="I119" s="771"/>
      <c r="J119" s="771"/>
      <c r="K119" s="771"/>
      <c r="L119" s="771"/>
      <c r="M119" s="771"/>
      <c r="N119" s="771"/>
      <c r="O119" s="771"/>
      <c r="P119" s="771"/>
      <c r="Q119" s="771"/>
      <c r="R119" s="771"/>
      <c r="S119" s="771"/>
      <c r="T119" s="771"/>
      <c r="U119" s="771"/>
      <c r="V119" s="771"/>
      <c r="W119" s="771"/>
      <c r="X119" s="771"/>
      <c r="Y119" s="771"/>
      <c r="Z119" s="771"/>
      <c r="AA119" s="771"/>
      <c r="AB119" s="771"/>
      <c r="AC119" s="771"/>
      <c r="AD119" s="772"/>
      <c r="AE119" s="780" t="s">
        <v>109</v>
      </c>
      <c r="AF119" s="781"/>
      <c r="AG119" s="781"/>
      <c r="AH119" s="781"/>
      <c r="AI119" s="781"/>
      <c r="AJ119" s="781"/>
      <c r="AK119" s="781"/>
      <c r="AL119" s="18"/>
      <c r="AM119" s="19"/>
      <c r="AN119" s="179"/>
      <c r="AO119" s="179"/>
      <c r="AP119" s="179"/>
      <c r="AQ119" s="19"/>
      <c r="AR119" s="19"/>
      <c r="AS119" s="19"/>
      <c r="AT119" s="19"/>
      <c r="AU119" s="19"/>
      <c r="AV119" s="19"/>
      <c r="AW119" s="19"/>
      <c r="AX119" s="19"/>
      <c r="AY119" s="19"/>
      <c r="BA119" s="152" t="b">
        <v>1</v>
      </c>
    </row>
    <row r="120" spans="1:54" s="13" customFormat="1" ht="22.15" customHeight="1">
      <c r="A120" s="19"/>
      <c r="B120" s="178"/>
      <c r="C120" s="770" t="s">
        <v>110</v>
      </c>
      <c r="D120" s="771"/>
      <c r="E120" s="771"/>
      <c r="F120" s="771"/>
      <c r="G120" s="771"/>
      <c r="H120" s="771"/>
      <c r="I120" s="771"/>
      <c r="J120" s="771"/>
      <c r="K120" s="771"/>
      <c r="L120" s="771"/>
      <c r="M120" s="771"/>
      <c r="N120" s="771"/>
      <c r="O120" s="771"/>
      <c r="P120" s="771"/>
      <c r="Q120" s="771"/>
      <c r="R120" s="771"/>
      <c r="S120" s="771"/>
      <c r="T120" s="771"/>
      <c r="U120" s="771"/>
      <c r="V120" s="771"/>
      <c r="W120" s="771"/>
      <c r="X120" s="771"/>
      <c r="Y120" s="771"/>
      <c r="Z120" s="771"/>
      <c r="AA120" s="771"/>
      <c r="AB120" s="771"/>
      <c r="AC120" s="771"/>
      <c r="AD120" s="772"/>
      <c r="AE120" s="773" t="s">
        <v>111</v>
      </c>
      <c r="AF120" s="774"/>
      <c r="AG120" s="774"/>
      <c r="AH120" s="774"/>
      <c r="AI120" s="774"/>
      <c r="AJ120" s="774"/>
      <c r="AK120" s="774"/>
      <c r="AL120" s="18"/>
      <c r="AM120" s="19"/>
      <c r="AN120" s="179"/>
      <c r="AO120" s="179"/>
      <c r="AP120" s="179"/>
      <c r="AQ120" s="19"/>
      <c r="AR120" s="19"/>
      <c r="AS120" s="19"/>
      <c r="AT120" s="19"/>
      <c r="AU120" s="19"/>
      <c r="AV120" s="19"/>
      <c r="AW120" s="19"/>
      <c r="AX120" s="19"/>
      <c r="AY120" s="19"/>
      <c r="BA120" s="152" t="b">
        <v>1</v>
      </c>
    </row>
    <row r="121" spans="1:54" s="13" customFormat="1" ht="22.15" customHeight="1">
      <c r="A121" s="19"/>
      <c r="B121" s="180"/>
      <c r="C121" s="775" t="s">
        <v>112</v>
      </c>
      <c r="D121" s="776"/>
      <c r="E121" s="776"/>
      <c r="F121" s="776"/>
      <c r="G121" s="776"/>
      <c r="H121" s="776"/>
      <c r="I121" s="776"/>
      <c r="J121" s="776"/>
      <c r="K121" s="776"/>
      <c r="L121" s="776"/>
      <c r="M121" s="776"/>
      <c r="N121" s="776"/>
      <c r="O121" s="776"/>
      <c r="P121" s="776"/>
      <c r="Q121" s="776"/>
      <c r="R121" s="776"/>
      <c r="S121" s="776"/>
      <c r="T121" s="776"/>
      <c r="U121" s="776"/>
      <c r="V121" s="776"/>
      <c r="W121" s="776"/>
      <c r="X121" s="776"/>
      <c r="Y121" s="776"/>
      <c r="Z121" s="776"/>
      <c r="AA121" s="776"/>
      <c r="AB121" s="776"/>
      <c r="AC121" s="776"/>
      <c r="AD121" s="777"/>
      <c r="AE121" s="778" t="s">
        <v>113</v>
      </c>
      <c r="AF121" s="779"/>
      <c r="AG121" s="779"/>
      <c r="AH121" s="779"/>
      <c r="AI121" s="779"/>
      <c r="AJ121" s="779"/>
      <c r="AK121" s="779"/>
      <c r="AL121" s="18"/>
      <c r="AM121" s="19"/>
      <c r="AN121" s="19"/>
      <c r="AO121" s="19"/>
      <c r="AP121" s="19"/>
      <c r="AQ121" s="19"/>
      <c r="AR121" s="19"/>
      <c r="AS121" s="19"/>
      <c r="AT121" s="19"/>
      <c r="AU121" s="19"/>
      <c r="AV121" s="19"/>
      <c r="AW121" s="19"/>
      <c r="AX121" s="19"/>
      <c r="AY121" s="19"/>
      <c r="BA121" s="152" t="b">
        <v>1</v>
      </c>
    </row>
    <row r="122" spans="1:54" s="13" customFormat="1" ht="25.5" customHeight="1" thickBot="1">
      <c r="A122" s="19"/>
      <c r="B122" s="181"/>
      <c r="C122" s="770" t="s">
        <v>114</v>
      </c>
      <c r="D122" s="771"/>
      <c r="E122" s="771"/>
      <c r="F122" s="771"/>
      <c r="G122" s="771"/>
      <c r="H122" s="771"/>
      <c r="I122" s="771"/>
      <c r="J122" s="771"/>
      <c r="K122" s="771"/>
      <c r="L122" s="771"/>
      <c r="M122" s="771"/>
      <c r="N122" s="771"/>
      <c r="O122" s="771"/>
      <c r="P122" s="771"/>
      <c r="Q122" s="771"/>
      <c r="R122" s="771"/>
      <c r="S122" s="771"/>
      <c r="T122" s="771"/>
      <c r="U122" s="771"/>
      <c r="V122" s="771"/>
      <c r="W122" s="771"/>
      <c r="X122" s="771"/>
      <c r="Y122" s="771"/>
      <c r="Z122" s="771"/>
      <c r="AA122" s="771"/>
      <c r="AB122" s="771"/>
      <c r="AC122" s="771"/>
      <c r="AD122" s="772"/>
      <c r="AE122" s="780" t="s">
        <v>109</v>
      </c>
      <c r="AF122" s="781"/>
      <c r="AG122" s="781"/>
      <c r="AH122" s="781"/>
      <c r="AI122" s="781"/>
      <c r="AJ122" s="781"/>
      <c r="AK122" s="781"/>
      <c r="AL122" s="18"/>
      <c r="AM122" s="19"/>
      <c r="AN122" s="19"/>
      <c r="AO122" s="19"/>
      <c r="AP122" s="19"/>
      <c r="AQ122" s="19"/>
      <c r="AR122" s="19"/>
      <c r="AS122" s="19"/>
      <c r="AT122" s="19"/>
      <c r="AU122" s="19"/>
      <c r="AV122" s="19"/>
      <c r="AW122" s="19"/>
      <c r="AX122" s="19"/>
      <c r="AY122" s="19"/>
      <c r="BA122" s="152" t="b">
        <v>1</v>
      </c>
    </row>
    <row r="123" spans="1:54" s="13" customFormat="1" ht="4.9000000000000004" customHeight="1">
      <c r="A123" s="19"/>
      <c r="B123" s="15"/>
      <c r="C123" s="16"/>
      <c r="D123" s="15"/>
      <c r="E123" s="15"/>
      <c r="F123" s="15"/>
      <c r="G123" s="15"/>
      <c r="H123" s="15"/>
      <c r="I123" s="15"/>
      <c r="J123" s="15"/>
      <c r="K123" s="15"/>
      <c r="L123" s="15"/>
      <c r="M123" s="15"/>
      <c r="N123" s="15"/>
      <c r="O123" s="15"/>
      <c r="P123" s="15"/>
      <c r="Q123" s="15"/>
      <c r="R123" s="15"/>
      <c r="S123" s="15"/>
      <c r="T123" s="15"/>
      <c r="U123" s="15"/>
      <c r="V123" s="15"/>
      <c r="W123" s="15"/>
      <c r="X123" s="15"/>
      <c r="Y123" s="15"/>
      <c r="Z123" s="16"/>
      <c r="AA123" s="16"/>
      <c r="AB123" s="16"/>
      <c r="AC123" s="16"/>
      <c r="AD123" s="16"/>
      <c r="AE123" s="16"/>
      <c r="AF123" s="16"/>
      <c r="AG123" s="16"/>
      <c r="AH123" s="16"/>
      <c r="AI123" s="15"/>
      <c r="AJ123" s="15"/>
      <c r="AK123" s="18"/>
      <c r="AL123" s="18"/>
      <c r="AM123" s="19"/>
      <c r="AN123" s="19"/>
      <c r="AO123" s="19"/>
      <c r="AP123" s="19"/>
      <c r="AQ123" s="19"/>
      <c r="AR123" s="19"/>
      <c r="AS123" s="19"/>
      <c r="AT123" s="19"/>
      <c r="AU123" s="19"/>
      <c r="AV123" s="19"/>
      <c r="AW123" s="19"/>
      <c r="AX123" s="19"/>
      <c r="AY123" s="19"/>
    </row>
    <row r="124" spans="1:54" s="13" customFormat="1" ht="12" customHeight="1">
      <c r="A124" s="19"/>
      <c r="B124" s="182" t="s">
        <v>115</v>
      </c>
      <c r="C124" s="183" t="s">
        <v>116</v>
      </c>
      <c r="D124" s="183"/>
      <c r="E124" s="183"/>
      <c r="F124" s="183"/>
      <c r="G124" s="183"/>
      <c r="H124" s="183"/>
      <c r="I124" s="183"/>
      <c r="J124" s="183"/>
      <c r="K124" s="183"/>
      <c r="L124" s="183"/>
      <c r="M124" s="183"/>
      <c r="N124" s="183"/>
      <c r="O124" s="183"/>
      <c r="P124" s="183"/>
      <c r="Q124" s="183"/>
      <c r="R124" s="183"/>
      <c r="S124" s="183"/>
      <c r="T124" s="183"/>
      <c r="U124" s="183"/>
      <c r="V124" s="183"/>
      <c r="W124" s="183"/>
      <c r="X124" s="183"/>
      <c r="Y124" s="183"/>
      <c r="Z124" s="183"/>
      <c r="AA124" s="183"/>
      <c r="AB124" s="183"/>
      <c r="AC124" s="183"/>
      <c r="AD124" s="183"/>
      <c r="AE124" s="183"/>
      <c r="AF124" s="183"/>
      <c r="AG124" s="183"/>
      <c r="AH124" s="183"/>
      <c r="AI124" s="183"/>
      <c r="AJ124" s="183"/>
      <c r="AK124" s="132"/>
      <c r="AL124" s="18"/>
      <c r="AM124" s="19"/>
      <c r="AN124" s="19"/>
      <c r="AO124" s="19"/>
      <c r="AP124" s="19"/>
      <c r="AQ124" s="19"/>
      <c r="AR124" s="19"/>
      <c r="AS124" s="19"/>
      <c r="AT124" s="19"/>
      <c r="AU124" s="19"/>
      <c r="AV124" s="19"/>
      <c r="AW124" s="19"/>
      <c r="AX124" s="19"/>
      <c r="AY124" s="19"/>
    </row>
    <row r="125" spans="1:54" s="13" customFormat="1" ht="24.6" customHeight="1">
      <c r="A125" s="19"/>
      <c r="B125" s="182" t="s">
        <v>115</v>
      </c>
      <c r="C125" s="764" t="s">
        <v>2466</v>
      </c>
      <c r="D125" s="764"/>
      <c r="E125" s="764"/>
      <c r="F125" s="764"/>
      <c r="G125" s="764"/>
      <c r="H125" s="764"/>
      <c r="I125" s="764"/>
      <c r="J125" s="764"/>
      <c r="K125" s="764"/>
      <c r="L125" s="764"/>
      <c r="M125" s="764"/>
      <c r="N125" s="764"/>
      <c r="O125" s="764"/>
      <c r="P125" s="764"/>
      <c r="Q125" s="764"/>
      <c r="R125" s="764"/>
      <c r="S125" s="764"/>
      <c r="T125" s="764"/>
      <c r="U125" s="764"/>
      <c r="V125" s="764"/>
      <c r="W125" s="764"/>
      <c r="X125" s="764"/>
      <c r="Y125" s="764"/>
      <c r="Z125" s="764"/>
      <c r="AA125" s="764"/>
      <c r="AB125" s="764"/>
      <c r="AC125" s="764"/>
      <c r="AD125" s="764"/>
      <c r="AE125" s="764"/>
      <c r="AF125" s="764"/>
      <c r="AG125" s="764"/>
      <c r="AH125" s="764"/>
      <c r="AI125" s="764"/>
      <c r="AJ125" s="764"/>
      <c r="AK125" s="764"/>
      <c r="AL125" s="18"/>
      <c r="AM125" s="19"/>
      <c r="AN125" s="19"/>
      <c r="AO125" s="19"/>
      <c r="AP125" s="19"/>
      <c r="AQ125" s="19"/>
      <c r="AR125" s="19"/>
      <c r="AS125" s="19"/>
      <c r="AT125" s="19"/>
      <c r="AU125" s="19"/>
      <c r="AV125" s="19"/>
      <c r="AW125" s="19"/>
      <c r="AX125" s="19"/>
      <c r="AY125" s="19"/>
    </row>
    <row r="126" spans="1:54" s="13" customFormat="1" ht="5.45" customHeight="1" thickBot="1">
      <c r="A126" s="19"/>
      <c r="B126" s="182"/>
      <c r="C126" s="539"/>
      <c r="D126" s="539"/>
      <c r="E126" s="539"/>
      <c r="F126" s="539"/>
      <c r="G126" s="539"/>
      <c r="H126" s="539"/>
      <c r="I126" s="539"/>
      <c r="J126" s="539"/>
      <c r="K126" s="539"/>
      <c r="L126" s="539"/>
      <c r="M126" s="539"/>
      <c r="N126" s="539"/>
      <c r="O126" s="539"/>
      <c r="P126" s="539"/>
      <c r="Q126" s="539"/>
      <c r="R126" s="539"/>
      <c r="S126" s="539"/>
      <c r="T126" s="539"/>
      <c r="U126" s="539"/>
      <c r="V126" s="539"/>
      <c r="W126" s="539"/>
      <c r="X126" s="539"/>
      <c r="Y126" s="539"/>
      <c r="Z126" s="539"/>
      <c r="AA126" s="539"/>
      <c r="AB126" s="539"/>
      <c r="AC126" s="539"/>
      <c r="AD126" s="539"/>
      <c r="AE126" s="539"/>
      <c r="AF126" s="539"/>
      <c r="AG126" s="539"/>
      <c r="AH126" s="539"/>
      <c r="AI126" s="539"/>
      <c r="AJ126" s="539"/>
      <c r="AK126" s="539"/>
      <c r="AL126" s="18"/>
      <c r="AM126" s="19"/>
      <c r="AN126" s="19"/>
      <c r="AO126" s="19"/>
      <c r="AP126" s="19"/>
      <c r="AQ126" s="19"/>
      <c r="AR126" s="19"/>
      <c r="AS126" s="19"/>
      <c r="AT126" s="19"/>
      <c r="AU126" s="19"/>
      <c r="AV126" s="19"/>
      <c r="AW126" s="19"/>
      <c r="AX126" s="19"/>
      <c r="AY126" s="19"/>
    </row>
    <row r="127" spans="1:54" s="13" customFormat="1" ht="15.6" customHeight="1" thickBot="1">
      <c r="A127" s="19"/>
      <c r="B127" s="184"/>
      <c r="C127" s="185"/>
      <c r="D127" s="185"/>
      <c r="E127" s="185"/>
      <c r="F127" s="185"/>
      <c r="G127" s="185"/>
      <c r="H127" s="185"/>
      <c r="I127" s="185"/>
      <c r="J127" s="185"/>
      <c r="K127" s="185"/>
      <c r="L127" s="185"/>
      <c r="M127" s="185"/>
      <c r="N127" s="185"/>
      <c r="O127" s="185"/>
      <c r="P127" s="185"/>
      <c r="Q127" s="185"/>
      <c r="R127" s="185"/>
      <c r="S127" s="185"/>
      <c r="T127" s="185"/>
      <c r="U127" s="185"/>
      <c r="V127" s="185"/>
      <c r="W127" s="185"/>
      <c r="X127" s="185"/>
      <c r="Y127" s="185"/>
      <c r="Z127" s="185"/>
      <c r="AA127" s="185"/>
      <c r="AB127" s="185"/>
      <c r="AC127" s="185"/>
      <c r="AD127" s="185"/>
      <c r="AE127" s="185"/>
      <c r="AF127" s="185"/>
      <c r="AG127" s="185"/>
      <c r="AH127" s="185"/>
      <c r="AI127" s="185"/>
      <c r="AJ127" s="185"/>
      <c r="AK127" s="532" t="str">
        <f>IF(H6="", "", IF(COUNTA(E131,H131,K131)=3,"○","×"))</f>
        <v>○</v>
      </c>
      <c r="AL127" s="18"/>
      <c r="AM127" s="19"/>
      <c r="AN127" s="19"/>
      <c r="AO127" s="19"/>
      <c r="AP127" s="19"/>
      <c r="AQ127" s="19"/>
      <c r="AR127" s="19"/>
      <c r="AS127" s="19"/>
      <c r="AT127" s="19"/>
      <c r="AU127" s="19"/>
      <c r="AV127" s="19"/>
      <c r="AW127" s="19"/>
      <c r="AX127" s="19"/>
      <c r="AY127" s="19"/>
    </row>
    <row r="128" spans="1:54" s="13" customFormat="1" ht="4.1500000000000004" customHeight="1">
      <c r="A128" s="19"/>
      <c r="B128" s="97"/>
      <c r="C128" s="98"/>
      <c r="D128" s="98"/>
      <c r="E128" s="98"/>
      <c r="F128" s="98"/>
      <c r="G128" s="98"/>
      <c r="H128" s="98"/>
      <c r="I128" s="98"/>
      <c r="J128" s="98"/>
      <c r="K128" s="98"/>
      <c r="L128" s="98"/>
      <c r="M128" s="98"/>
      <c r="N128" s="98"/>
      <c r="O128" s="98"/>
      <c r="P128" s="98"/>
      <c r="Q128" s="98"/>
      <c r="R128" s="98"/>
      <c r="S128" s="98"/>
      <c r="T128" s="98"/>
      <c r="U128" s="98"/>
      <c r="V128" s="98"/>
      <c r="W128" s="98"/>
      <c r="X128" s="98"/>
      <c r="Y128" s="98"/>
      <c r="Z128" s="98"/>
      <c r="AA128" s="98"/>
      <c r="AB128" s="98"/>
      <c r="AC128" s="98"/>
      <c r="AD128" s="98"/>
      <c r="AE128" s="98"/>
      <c r="AF128" s="98"/>
      <c r="AG128" s="98"/>
      <c r="AH128" s="98"/>
      <c r="AI128" s="98"/>
      <c r="AJ128" s="98"/>
      <c r="AK128" s="186"/>
      <c r="AL128" s="18"/>
      <c r="AM128" s="19"/>
      <c r="AN128" s="19"/>
      <c r="AO128" s="19"/>
      <c r="AP128" s="19"/>
      <c r="AQ128" s="19"/>
      <c r="AR128" s="19"/>
      <c r="AS128" s="19"/>
      <c r="AT128" s="19"/>
      <c r="AU128" s="19"/>
      <c r="AV128" s="19"/>
      <c r="AW128" s="19"/>
      <c r="AX128" s="19"/>
      <c r="AY128" s="19"/>
    </row>
    <row r="129" spans="1:53" s="13" customFormat="1" ht="30" customHeight="1">
      <c r="A129" s="19"/>
      <c r="B129" s="99"/>
      <c r="C129" s="765" t="s">
        <v>117</v>
      </c>
      <c r="D129" s="765"/>
      <c r="E129" s="765"/>
      <c r="F129" s="765"/>
      <c r="G129" s="765"/>
      <c r="H129" s="765"/>
      <c r="I129" s="765"/>
      <c r="J129" s="765"/>
      <c r="K129" s="765"/>
      <c r="L129" s="765"/>
      <c r="M129" s="765"/>
      <c r="N129" s="765"/>
      <c r="O129" s="765"/>
      <c r="P129" s="765"/>
      <c r="Q129" s="765"/>
      <c r="R129" s="765"/>
      <c r="S129" s="765"/>
      <c r="T129" s="765"/>
      <c r="U129" s="765"/>
      <c r="V129" s="765"/>
      <c r="W129" s="765"/>
      <c r="X129" s="765"/>
      <c r="Y129" s="765"/>
      <c r="Z129" s="765"/>
      <c r="AA129" s="765"/>
      <c r="AB129" s="765"/>
      <c r="AC129" s="765"/>
      <c r="AD129" s="765"/>
      <c r="AE129" s="765"/>
      <c r="AF129" s="765"/>
      <c r="AG129" s="765"/>
      <c r="AH129" s="765"/>
      <c r="AI129" s="765"/>
      <c r="AJ129" s="765"/>
      <c r="AK129" s="100"/>
      <c r="AL129" s="15"/>
      <c r="AM129" s="18"/>
      <c r="AN129" s="19"/>
      <c r="AO129" s="19"/>
      <c r="AP129" s="19"/>
      <c r="AQ129" s="19"/>
      <c r="AR129" s="19"/>
      <c r="AS129" s="19"/>
      <c r="AT129" s="19"/>
      <c r="AU129" s="19"/>
      <c r="AV129" s="19"/>
      <c r="AW129" s="19"/>
      <c r="AX129" s="19"/>
      <c r="AY129" s="19"/>
    </row>
    <row r="130" spans="1:53" s="13" customFormat="1" ht="3.6" customHeight="1">
      <c r="A130" s="19"/>
      <c r="B130" s="99"/>
      <c r="C130" s="16"/>
      <c r="D130" s="15"/>
      <c r="E130" s="15"/>
      <c r="F130" s="15"/>
      <c r="G130" s="15"/>
      <c r="H130" s="15"/>
      <c r="I130" s="15"/>
      <c r="J130" s="15"/>
      <c r="K130" s="15"/>
      <c r="L130" s="15"/>
      <c r="M130" s="15"/>
      <c r="N130" s="15"/>
      <c r="O130" s="15"/>
      <c r="P130" s="15"/>
      <c r="Q130" s="15"/>
      <c r="R130" s="15"/>
      <c r="S130" s="15"/>
      <c r="T130" s="15"/>
      <c r="U130" s="15"/>
      <c r="V130" s="15"/>
      <c r="W130" s="15"/>
      <c r="X130" s="15"/>
      <c r="Y130" s="15"/>
      <c r="Z130" s="15"/>
      <c r="AA130" s="15"/>
      <c r="AB130" s="15"/>
      <c r="AC130" s="15"/>
      <c r="AD130" s="15"/>
      <c r="AE130" s="15"/>
      <c r="AF130" s="15"/>
      <c r="AG130" s="15"/>
      <c r="AH130" s="15"/>
      <c r="AI130" s="15"/>
      <c r="AJ130" s="15"/>
      <c r="AK130" s="100"/>
      <c r="AL130" s="18"/>
      <c r="AM130" s="18"/>
      <c r="AN130" s="19"/>
      <c r="AO130" s="19"/>
      <c r="AP130" s="19"/>
      <c r="AQ130" s="19"/>
      <c r="AR130" s="19"/>
      <c r="AS130" s="19"/>
      <c r="AT130" s="19"/>
      <c r="AU130" s="19"/>
      <c r="AV130" s="19"/>
      <c r="AW130" s="19"/>
      <c r="AX130" s="19"/>
      <c r="AY130" s="19"/>
    </row>
    <row r="131" spans="1:53" s="13" customFormat="1" ht="15" customHeight="1">
      <c r="A131" s="19"/>
      <c r="B131" s="101"/>
      <c r="C131" s="187" t="s">
        <v>118</v>
      </c>
      <c r="D131" s="187"/>
      <c r="E131" s="766">
        <v>8</v>
      </c>
      <c r="F131" s="767"/>
      <c r="G131" s="187" t="s">
        <v>119</v>
      </c>
      <c r="H131" s="766">
        <v>4</v>
      </c>
      <c r="I131" s="767"/>
      <c r="J131" s="187" t="s">
        <v>120</v>
      </c>
      <c r="K131" s="766">
        <v>1</v>
      </c>
      <c r="L131" s="767"/>
      <c r="M131" s="187" t="s">
        <v>121</v>
      </c>
      <c r="N131" s="15"/>
      <c r="O131" s="768" t="s">
        <v>46</v>
      </c>
      <c r="P131" s="768"/>
      <c r="Q131" s="768"/>
      <c r="R131" s="769" t="str">
        <f>IF(H6="","",H6)</f>
        <v>○○サービス事業所</v>
      </c>
      <c r="S131" s="769"/>
      <c r="T131" s="769"/>
      <c r="U131" s="769"/>
      <c r="V131" s="769"/>
      <c r="W131" s="769"/>
      <c r="X131" s="769"/>
      <c r="Y131" s="769"/>
      <c r="Z131" s="769"/>
      <c r="AA131" s="769"/>
      <c r="AB131" s="769"/>
      <c r="AC131" s="769"/>
      <c r="AD131" s="769"/>
      <c r="AE131" s="769"/>
      <c r="AF131" s="769"/>
      <c r="AG131" s="769"/>
      <c r="AH131" s="769"/>
      <c r="AI131" s="769"/>
      <c r="AJ131" s="188"/>
      <c r="AK131" s="189"/>
      <c r="AL131" s="190"/>
      <c r="AM131" s="18"/>
      <c r="AN131" s="18"/>
      <c r="AO131" s="18"/>
      <c r="AP131" s="18"/>
      <c r="AQ131" s="18"/>
      <c r="AR131" s="18"/>
      <c r="AS131" s="18"/>
      <c r="AT131" s="18"/>
      <c r="AU131" s="18"/>
      <c r="AV131" s="18"/>
      <c r="AW131" s="136"/>
      <c r="AX131" s="18"/>
      <c r="AY131" s="18"/>
      <c r="AZ131"/>
    </row>
    <row r="132" spans="1:53" s="13" customFormat="1" ht="14.45" customHeight="1">
      <c r="A132" s="18"/>
      <c r="B132" s="101"/>
      <c r="C132" s="191"/>
      <c r="D132" s="187"/>
      <c r="E132" s="187"/>
      <c r="F132" s="187"/>
      <c r="G132" s="187"/>
      <c r="H132" s="187"/>
      <c r="I132" s="187"/>
      <c r="J132" s="187"/>
      <c r="K132" s="187"/>
      <c r="L132" s="187"/>
      <c r="M132" s="187"/>
      <c r="N132" s="760" t="s">
        <v>122</v>
      </c>
      <c r="O132" s="760"/>
      <c r="P132" s="760"/>
      <c r="Q132" s="760"/>
      <c r="R132" s="761" t="s">
        <v>19</v>
      </c>
      <c r="S132" s="761"/>
      <c r="T132" s="762" t="str">
        <f>IF(基本情報入力シート!L20="", "", 基本情報入力シート!L20)</f>
        <v>代表取締役</v>
      </c>
      <c r="U132" s="762"/>
      <c r="V132" s="762"/>
      <c r="W132" s="762"/>
      <c r="X132" s="762"/>
      <c r="Y132" s="763" t="s">
        <v>21</v>
      </c>
      <c r="Z132" s="763"/>
      <c r="AA132" s="762" t="str">
        <f>IF(基本情報入力シート!L21="", "", 基本情報入力シート!L21)</f>
        <v>厚労　太郎</v>
      </c>
      <c r="AB132" s="762"/>
      <c r="AC132" s="762"/>
      <c r="AD132" s="762"/>
      <c r="AE132" s="762"/>
      <c r="AF132" s="762"/>
      <c r="AG132" s="762"/>
      <c r="AH132" s="762"/>
      <c r="AI132" s="762"/>
      <c r="AJ132" s="191"/>
      <c r="AK132" s="192"/>
      <c r="AL132" s="190"/>
      <c r="AM132" s="190"/>
      <c r="AN132" s="18"/>
      <c r="AO132" s="18"/>
      <c r="AP132" s="18"/>
      <c r="AQ132" s="18"/>
      <c r="AR132" s="18"/>
      <c r="AS132" s="18"/>
      <c r="AT132" s="18"/>
      <c r="AU132" s="18"/>
      <c r="AV132" s="18"/>
      <c r="AW132" s="136"/>
      <c r="AX132" s="18"/>
      <c r="AY132" s="18"/>
      <c r="AZ132"/>
      <c r="BA132"/>
    </row>
    <row r="133" spans="1:53" ht="5.45" customHeight="1" thickBot="1">
      <c r="A133" s="18"/>
      <c r="B133" s="193"/>
      <c r="C133" s="194"/>
      <c r="D133" s="195"/>
      <c r="E133" s="195"/>
      <c r="F133" s="195"/>
      <c r="G133" s="195"/>
      <c r="H133" s="195"/>
      <c r="I133" s="195"/>
      <c r="J133" s="195"/>
      <c r="K133" s="195"/>
      <c r="L133" s="195"/>
      <c r="M133" s="195"/>
      <c r="N133" s="195"/>
      <c r="O133" s="195"/>
      <c r="P133" s="195"/>
      <c r="Q133" s="194"/>
      <c r="R133" s="195"/>
      <c r="S133" s="196"/>
      <c r="T133" s="196"/>
      <c r="U133" s="196"/>
      <c r="V133" s="196"/>
      <c r="W133" s="196"/>
      <c r="X133" s="197"/>
      <c r="Y133" s="197"/>
      <c r="Z133" s="197"/>
      <c r="AA133" s="197"/>
      <c r="AB133" s="197"/>
      <c r="AC133" s="197"/>
      <c r="AD133" s="197"/>
      <c r="AE133" s="197"/>
      <c r="AF133" s="197"/>
      <c r="AG133" s="197"/>
      <c r="AH133" s="197"/>
      <c r="AI133" s="197"/>
      <c r="AJ133" s="198"/>
      <c r="AK133" s="199"/>
      <c r="AL133" s="190"/>
      <c r="AM133" s="190"/>
      <c r="AN133" s="18"/>
      <c r="AO133" s="18"/>
      <c r="AP133" s="18"/>
      <c r="AQ133" s="18"/>
      <c r="AR133" s="18"/>
      <c r="AS133" s="18"/>
      <c r="AT133" s="18"/>
      <c r="AU133" s="18"/>
      <c r="AV133" s="18"/>
      <c r="AW133" s="136"/>
      <c r="AX133" s="18"/>
      <c r="AY133" s="18"/>
    </row>
    <row r="134" spans="1:53" ht="1.9" customHeight="1">
      <c r="A134" s="18"/>
      <c r="B134" s="20"/>
      <c r="C134" s="190"/>
      <c r="D134" s="20"/>
      <c r="E134" s="20"/>
      <c r="F134" s="20"/>
      <c r="G134" s="20"/>
      <c r="H134" s="20"/>
      <c r="I134" s="20"/>
      <c r="J134" s="20"/>
      <c r="K134" s="20"/>
      <c r="L134" s="20"/>
      <c r="M134" s="20"/>
      <c r="N134" s="20"/>
      <c r="O134" s="20"/>
      <c r="P134" s="20"/>
      <c r="Q134" s="190"/>
      <c r="R134" s="20"/>
      <c r="S134" s="200"/>
      <c r="T134" s="200"/>
      <c r="U134" s="200"/>
      <c r="V134" s="200"/>
      <c r="W134" s="200"/>
      <c r="X134" s="201"/>
      <c r="Y134" s="201"/>
      <c r="Z134" s="201"/>
      <c r="AA134" s="201"/>
      <c r="AB134" s="201"/>
      <c r="AC134" s="201"/>
      <c r="AD134" s="201"/>
      <c r="AE134" s="201"/>
      <c r="AF134" s="201"/>
      <c r="AG134" s="201"/>
      <c r="AH134" s="201"/>
      <c r="AI134" s="201"/>
      <c r="AJ134" s="202"/>
      <c r="AK134" s="190"/>
      <c r="AL134" s="190"/>
      <c r="AM134" s="190"/>
      <c r="AN134" s="18"/>
      <c r="AO134" s="18"/>
      <c r="AP134" s="18"/>
      <c r="AQ134" s="18"/>
      <c r="AR134" s="18"/>
      <c r="AS134" s="18"/>
      <c r="AT134" s="18"/>
      <c r="AU134" s="18"/>
      <c r="AV134" s="18"/>
      <c r="AW134" s="136"/>
      <c r="AX134" s="18"/>
      <c r="AY134" s="18"/>
    </row>
    <row r="135" spans="1:53" ht="15.6" customHeight="1">
      <c r="A135" s="19"/>
      <c r="B135" s="22" t="s">
        <v>123</v>
      </c>
      <c r="C135" s="20"/>
      <c r="D135" s="19"/>
      <c r="E135" s="19"/>
      <c r="F135" s="21" t="s">
        <v>124</v>
      </c>
      <c r="G135" s="18"/>
      <c r="H135" s="18"/>
      <c r="I135" s="18"/>
      <c r="J135" s="18"/>
      <c r="K135" s="18"/>
      <c r="L135" s="18"/>
      <c r="M135" s="18"/>
      <c r="N135" s="18"/>
      <c r="O135" s="18"/>
      <c r="P135" s="18"/>
      <c r="Q135" s="18"/>
      <c r="R135" s="18"/>
      <c r="S135" s="18"/>
      <c r="T135" s="18"/>
      <c r="U135" s="18"/>
      <c r="V135" s="18"/>
      <c r="W135" s="18"/>
      <c r="X135" s="18"/>
      <c r="Y135" s="18"/>
      <c r="Z135" s="18"/>
      <c r="AA135" s="18"/>
      <c r="AB135" s="18"/>
      <c r="AC135" s="18"/>
      <c r="AD135" s="18"/>
      <c r="AE135" s="18"/>
      <c r="AF135" s="18"/>
      <c r="AG135" s="18"/>
      <c r="AH135" s="18"/>
      <c r="AI135" s="18"/>
      <c r="AJ135" s="18"/>
      <c r="AK135" s="18"/>
      <c r="AL135" s="18"/>
      <c r="AM135" s="190"/>
      <c r="AN135" s="19"/>
      <c r="AO135" s="19"/>
      <c r="AP135" s="19"/>
      <c r="AQ135" s="19"/>
      <c r="AR135" s="19"/>
      <c r="AS135" s="19"/>
      <c r="AT135" s="19"/>
      <c r="AU135" s="19"/>
      <c r="AV135" s="19"/>
      <c r="AW135" s="19"/>
      <c r="AX135" s="19"/>
      <c r="AY135" s="19"/>
      <c r="AZ135" s="13"/>
    </row>
    <row r="136" spans="1:53" s="13" customFormat="1" ht="15" customHeight="1">
      <c r="A136" s="18"/>
      <c r="B136" s="135" t="s">
        <v>58</v>
      </c>
      <c r="C136" s="132" t="s">
        <v>125</v>
      </c>
      <c r="D136" s="18"/>
      <c r="E136" s="18"/>
      <c r="F136" s="18"/>
      <c r="G136" s="18"/>
      <c r="H136" s="18"/>
      <c r="I136" s="18"/>
      <c r="J136" s="18"/>
      <c r="K136" s="18"/>
      <c r="L136" s="18"/>
      <c r="M136" s="18"/>
      <c r="N136" s="18"/>
      <c r="O136" s="18"/>
      <c r="P136" s="18"/>
      <c r="Q136" s="18"/>
      <c r="R136" s="18"/>
      <c r="S136" s="18"/>
      <c r="T136" s="18"/>
      <c r="U136" s="18"/>
      <c r="V136" s="18"/>
      <c r="W136" s="18"/>
      <c r="X136" s="18"/>
      <c r="Y136" s="18"/>
      <c r="Z136" s="18"/>
      <c r="AA136" s="18"/>
      <c r="AB136" s="18"/>
      <c r="AC136" s="18"/>
      <c r="AD136" s="18"/>
      <c r="AE136" s="18"/>
      <c r="AF136" s="18"/>
      <c r="AG136" s="18"/>
      <c r="AH136" s="18"/>
      <c r="AI136" s="18"/>
      <c r="AJ136" s="18"/>
      <c r="AK136" s="18"/>
      <c r="AL136" s="18"/>
      <c r="AM136" s="18"/>
      <c r="AN136" s="18"/>
      <c r="AO136" s="18"/>
      <c r="AP136" s="18"/>
      <c r="AQ136" s="18"/>
      <c r="AR136" s="18"/>
      <c r="AS136" s="18"/>
      <c r="AT136" s="18"/>
      <c r="AU136" s="18"/>
      <c r="AV136" s="18"/>
      <c r="AW136" s="18"/>
      <c r="AX136" s="18"/>
      <c r="AY136" s="18"/>
      <c r="AZ136"/>
    </row>
    <row r="137" spans="1:53" ht="12.75" customHeight="1">
      <c r="A137" s="133"/>
      <c r="B137" s="135" t="s">
        <v>115</v>
      </c>
      <c r="C137" s="132" t="s">
        <v>126</v>
      </c>
      <c r="D137" s="133"/>
      <c r="E137" s="133"/>
      <c r="F137" s="133"/>
      <c r="G137" s="133"/>
      <c r="H137" s="133"/>
      <c r="I137" s="133"/>
      <c r="J137" s="133"/>
      <c r="K137" s="133"/>
      <c r="L137" s="133"/>
      <c r="M137" s="133"/>
      <c r="N137" s="133"/>
      <c r="O137" s="133"/>
      <c r="P137" s="133"/>
      <c r="Q137" s="133"/>
      <c r="R137" s="133"/>
      <c r="S137" s="133"/>
      <c r="T137" s="133"/>
      <c r="U137" s="133"/>
      <c r="V137" s="133"/>
      <c r="W137" s="133"/>
      <c r="X137" s="133"/>
      <c r="Y137" s="133"/>
      <c r="Z137" s="133"/>
      <c r="AA137" s="133"/>
      <c r="AB137" s="133"/>
      <c r="AC137" s="133"/>
      <c r="AD137" s="133"/>
      <c r="AE137" s="133"/>
      <c r="AF137" s="133"/>
      <c r="AG137" s="133"/>
      <c r="AH137" s="133"/>
      <c r="AI137" s="133"/>
      <c r="AJ137" s="133"/>
      <c r="AK137" s="133"/>
      <c r="AL137" s="133"/>
      <c r="AM137" s="18"/>
      <c r="AN137" s="133"/>
      <c r="AO137" s="133"/>
      <c r="AP137" s="133"/>
      <c r="AQ137" s="133"/>
      <c r="AR137" s="133"/>
      <c r="AS137" s="133"/>
      <c r="AT137" s="133"/>
      <c r="AU137" s="133"/>
      <c r="AV137" s="133"/>
      <c r="AW137" s="133"/>
      <c r="AX137" s="133"/>
      <c r="AY137" s="133"/>
      <c r="AZ137" s="203"/>
    </row>
    <row r="138" spans="1:53" s="203" customFormat="1" ht="4.1500000000000004" customHeight="1">
      <c r="A138" s="18"/>
      <c r="B138" s="21"/>
      <c r="C138" s="20"/>
      <c r="D138" s="18"/>
      <c r="E138" s="18"/>
      <c r="F138" s="18"/>
      <c r="G138" s="18"/>
      <c r="H138" s="18"/>
      <c r="I138" s="18"/>
      <c r="J138" s="18"/>
      <c r="K138" s="18"/>
      <c r="L138" s="18"/>
      <c r="M138" s="18"/>
      <c r="N138" s="18"/>
      <c r="O138" s="18"/>
      <c r="P138" s="18"/>
      <c r="Q138" s="18"/>
      <c r="R138" s="18"/>
      <c r="S138" s="18"/>
      <c r="T138" s="18"/>
      <c r="U138" s="18"/>
      <c r="V138" s="18"/>
      <c r="W138" s="18"/>
      <c r="X138" s="18"/>
      <c r="Y138" s="18"/>
      <c r="Z138" s="18"/>
      <c r="AA138" s="18"/>
      <c r="AB138" s="18"/>
      <c r="AC138" s="18"/>
      <c r="AD138" s="18"/>
      <c r="AE138" s="18"/>
      <c r="AF138" s="18"/>
      <c r="AG138" s="18"/>
      <c r="AH138" s="18"/>
      <c r="AI138" s="18"/>
      <c r="AJ138" s="18"/>
      <c r="AK138" s="18"/>
      <c r="AL138" s="18"/>
    </row>
    <row r="139" spans="1:53" ht="10.9" customHeight="1">
      <c r="A139" s="18"/>
      <c r="B139" s="722" t="s">
        <v>127</v>
      </c>
      <c r="C139" s="723"/>
      <c r="D139" s="723"/>
      <c r="E139" s="723"/>
      <c r="F139" s="723"/>
      <c r="G139" s="723"/>
      <c r="H139" s="723"/>
      <c r="I139" s="723"/>
      <c r="J139" s="723"/>
      <c r="K139" s="723"/>
      <c r="L139" s="723"/>
      <c r="M139" s="723"/>
      <c r="N139" s="723"/>
      <c r="O139" s="723"/>
      <c r="P139" s="723"/>
      <c r="Q139" s="723"/>
      <c r="R139" s="723"/>
      <c r="S139" s="723"/>
      <c r="T139" s="723"/>
      <c r="U139" s="723"/>
      <c r="V139" s="723"/>
      <c r="W139" s="723"/>
      <c r="X139" s="723"/>
      <c r="Y139" s="723"/>
      <c r="Z139" s="723"/>
      <c r="AA139" s="723"/>
      <c r="AB139" s="723"/>
      <c r="AC139" s="723"/>
      <c r="AD139" s="723"/>
      <c r="AE139" s="723"/>
      <c r="AF139" s="723"/>
      <c r="AG139" s="723"/>
      <c r="AH139" s="723"/>
      <c r="AI139" s="723"/>
      <c r="AJ139" s="723"/>
      <c r="AK139" s="724"/>
      <c r="AL139" s="18"/>
    </row>
    <row r="140" spans="1:53">
      <c r="A140" s="18"/>
      <c r="B140" s="754" t="s">
        <v>2195</v>
      </c>
      <c r="C140" s="755"/>
      <c r="D140" s="755"/>
      <c r="E140" s="755"/>
      <c r="F140" s="755"/>
      <c r="G140" s="755"/>
      <c r="H140" s="755"/>
      <c r="I140" s="755"/>
      <c r="J140" s="755"/>
      <c r="K140" s="755"/>
      <c r="L140" s="755"/>
      <c r="M140" s="755"/>
      <c r="N140" s="755"/>
      <c r="O140" s="755"/>
      <c r="P140" s="755"/>
      <c r="Q140" s="755"/>
      <c r="R140" s="755"/>
      <c r="S140" s="755"/>
      <c r="T140" s="755"/>
      <c r="U140" s="755"/>
      <c r="V140" s="755"/>
      <c r="W140" s="755"/>
      <c r="X140" s="755"/>
      <c r="Y140" s="755"/>
      <c r="Z140" s="755"/>
      <c r="AA140" s="755"/>
      <c r="AB140" s="755"/>
      <c r="AC140" s="755"/>
      <c r="AD140" s="755"/>
      <c r="AE140" s="755"/>
      <c r="AF140" s="755"/>
      <c r="AG140" s="755"/>
      <c r="AH140" s="755"/>
      <c r="AI140" s="755"/>
      <c r="AJ140" s="756"/>
      <c r="AK140" s="204" t="str">
        <f>Y18</f>
        <v>○</v>
      </c>
      <c r="AL140" s="18"/>
    </row>
    <row r="141" spans="1:53">
      <c r="A141" s="18"/>
      <c r="B141" s="18"/>
      <c r="C141" s="18"/>
      <c r="D141" s="18"/>
      <c r="E141" s="18"/>
      <c r="F141" s="18"/>
      <c r="G141" s="18"/>
      <c r="H141" s="18"/>
      <c r="I141" s="18"/>
      <c r="J141" s="18"/>
      <c r="K141" s="18"/>
      <c r="L141" s="18"/>
      <c r="M141" s="18"/>
      <c r="N141" s="18"/>
      <c r="O141" s="18"/>
      <c r="P141" s="18"/>
      <c r="Q141" s="18"/>
      <c r="R141" s="18"/>
      <c r="S141" s="18"/>
      <c r="T141" s="18"/>
      <c r="U141" s="18"/>
      <c r="V141" s="18"/>
      <c r="W141" s="18"/>
      <c r="X141" s="18"/>
      <c r="Y141" s="18"/>
      <c r="Z141" s="18"/>
      <c r="AA141" s="18"/>
      <c r="AB141" s="18"/>
      <c r="AC141" s="18"/>
      <c r="AD141" s="18"/>
      <c r="AE141" s="18"/>
      <c r="AF141" s="18"/>
      <c r="AG141" s="18"/>
      <c r="AH141" s="18"/>
      <c r="AI141" s="18"/>
      <c r="AJ141" s="18"/>
      <c r="AK141" s="18"/>
      <c r="AL141" s="18"/>
    </row>
    <row r="142" spans="1:53" ht="13.15" customHeight="1">
      <c r="A142" s="165"/>
      <c r="B142" s="722" t="s">
        <v>2270</v>
      </c>
      <c r="C142" s="723"/>
      <c r="D142" s="723"/>
      <c r="E142" s="723"/>
      <c r="F142" s="723"/>
      <c r="G142" s="723"/>
      <c r="H142" s="723"/>
      <c r="I142" s="723"/>
      <c r="J142" s="723"/>
      <c r="K142" s="723"/>
      <c r="L142" s="723"/>
      <c r="M142" s="723"/>
      <c r="N142" s="723"/>
      <c r="O142" s="723"/>
      <c r="P142" s="723"/>
      <c r="Q142" s="723"/>
      <c r="R142" s="723"/>
      <c r="S142" s="723"/>
      <c r="T142" s="723"/>
      <c r="U142" s="723"/>
      <c r="V142" s="723"/>
      <c r="W142" s="723"/>
      <c r="X142" s="723"/>
      <c r="Y142" s="723"/>
      <c r="Z142" s="723"/>
      <c r="AA142" s="723"/>
      <c r="AB142" s="723"/>
      <c r="AC142" s="723"/>
      <c r="AD142" s="723"/>
      <c r="AE142" s="723"/>
      <c r="AF142" s="723"/>
      <c r="AG142" s="723"/>
      <c r="AH142" s="723"/>
      <c r="AI142" s="723"/>
      <c r="AJ142" s="723"/>
      <c r="AK142" s="724"/>
      <c r="AL142" s="18"/>
    </row>
    <row r="143" spans="1:53" s="167" customFormat="1" ht="15" customHeight="1">
      <c r="A143" s="165"/>
      <c r="B143" s="205" t="s">
        <v>128</v>
      </c>
      <c r="C143" s="757" t="s">
        <v>129</v>
      </c>
      <c r="D143" s="758"/>
      <c r="E143" s="758"/>
      <c r="F143" s="758"/>
      <c r="G143" s="758"/>
      <c r="H143" s="758"/>
      <c r="I143" s="759"/>
      <c r="J143" s="746" t="s">
        <v>130</v>
      </c>
      <c r="K143" s="746"/>
      <c r="L143" s="746"/>
      <c r="M143" s="746"/>
      <c r="N143" s="746"/>
      <c r="O143" s="746"/>
      <c r="P143" s="746"/>
      <c r="Q143" s="746"/>
      <c r="R143" s="746"/>
      <c r="S143" s="746"/>
      <c r="T143" s="746"/>
      <c r="U143" s="746"/>
      <c r="V143" s="746"/>
      <c r="W143" s="746"/>
      <c r="X143" s="746"/>
      <c r="Y143" s="746"/>
      <c r="Z143" s="746"/>
      <c r="AA143" s="746"/>
      <c r="AB143" s="746"/>
      <c r="AC143" s="746"/>
      <c r="AD143" s="746"/>
      <c r="AE143" s="746"/>
      <c r="AF143" s="746"/>
      <c r="AG143" s="746"/>
      <c r="AH143" s="746"/>
      <c r="AI143" s="746"/>
      <c r="AJ143" s="747"/>
      <c r="AK143" s="204" t="str">
        <f>IF(H6="", "",IF(AND(AK30="○", AB31="○"), "○", "×"))</f>
        <v>○</v>
      </c>
      <c r="AL143" s="18"/>
    </row>
    <row r="144" spans="1:53" s="167" customFormat="1" ht="25.9" customHeight="1">
      <c r="A144" s="165"/>
      <c r="B144" s="205" t="s">
        <v>131</v>
      </c>
      <c r="C144" s="751" t="s">
        <v>132</v>
      </c>
      <c r="D144" s="752"/>
      <c r="E144" s="752"/>
      <c r="F144" s="752"/>
      <c r="G144" s="752"/>
      <c r="H144" s="752"/>
      <c r="I144" s="753"/>
      <c r="J144" s="744" t="s">
        <v>133</v>
      </c>
      <c r="K144" s="744"/>
      <c r="L144" s="744"/>
      <c r="M144" s="744"/>
      <c r="N144" s="744"/>
      <c r="O144" s="744"/>
      <c r="P144" s="744"/>
      <c r="Q144" s="744"/>
      <c r="R144" s="744"/>
      <c r="S144" s="744"/>
      <c r="T144" s="744"/>
      <c r="U144" s="744"/>
      <c r="V144" s="744"/>
      <c r="W144" s="744"/>
      <c r="X144" s="744"/>
      <c r="Y144" s="744"/>
      <c r="Z144" s="744"/>
      <c r="AA144" s="744"/>
      <c r="AB144" s="744"/>
      <c r="AC144" s="744"/>
      <c r="AD144" s="744"/>
      <c r="AE144" s="744"/>
      <c r="AF144" s="744"/>
      <c r="AG144" s="744"/>
      <c r="AH144" s="744"/>
      <c r="AI144" s="744"/>
      <c r="AJ144" s="745"/>
      <c r="AK144" s="204" t="str">
        <f>IF(H6="","",IF(OR(AK38="○",AND(AK38="×",AK39="✓")),"○","×"))</f>
        <v>○</v>
      </c>
      <c r="AL144" s="206"/>
    </row>
    <row r="145" spans="1:38" s="167" customFormat="1" ht="24" customHeight="1">
      <c r="A145" s="19"/>
      <c r="B145" s="543" t="s">
        <v>134</v>
      </c>
      <c r="C145" s="751" t="s">
        <v>135</v>
      </c>
      <c r="D145" s="752"/>
      <c r="E145" s="752"/>
      <c r="F145" s="752"/>
      <c r="G145" s="752"/>
      <c r="H145" s="752"/>
      <c r="I145" s="753"/>
      <c r="J145" s="744" t="s">
        <v>136</v>
      </c>
      <c r="K145" s="744"/>
      <c r="L145" s="744"/>
      <c r="M145" s="744"/>
      <c r="N145" s="744"/>
      <c r="O145" s="744"/>
      <c r="P145" s="744"/>
      <c r="Q145" s="744"/>
      <c r="R145" s="744"/>
      <c r="S145" s="744"/>
      <c r="T145" s="744"/>
      <c r="U145" s="744"/>
      <c r="V145" s="744"/>
      <c r="W145" s="744"/>
      <c r="X145" s="744"/>
      <c r="Y145" s="744"/>
      <c r="Z145" s="744"/>
      <c r="AA145" s="744"/>
      <c r="AB145" s="744"/>
      <c r="AC145" s="744"/>
      <c r="AD145" s="744"/>
      <c r="AE145" s="744"/>
      <c r="AF145" s="744"/>
      <c r="AG145" s="744"/>
      <c r="AH145" s="744"/>
      <c r="AI145" s="744"/>
      <c r="AJ145" s="745"/>
      <c r="AK145" s="204" t="str">
        <f>IF(H6="","",IF(AND(BA42=0,BE42=0),"",IF(OR(AK42="○",AND(AK42="×",AK43="✓")),"○","×")))</f>
        <v>○</v>
      </c>
      <c r="AL145" s="18"/>
    </row>
    <row r="146" spans="1:38" s="13" customFormat="1" ht="26.25" customHeight="1">
      <c r="A146" s="19"/>
      <c r="B146" s="543" t="s">
        <v>137</v>
      </c>
      <c r="C146" s="751" t="s">
        <v>138</v>
      </c>
      <c r="D146" s="752"/>
      <c r="E146" s="752"/>
      <c r="F146" s="752"/>
      <c r="G146" s="752"/>
      <c r="H146" s="752"/>
      <c r="I146" s="753"/>
      <c r="J146" s="744" t="s">
        <v>2484</v>
      </c>
      <c r="K146" s="744"/>
      <c r="L146" s="744"/>
      <c r="M146" s="744"/>
      <c r="N146" s="744"/>
      <c r="O146" s="744"/>
      <c r="P146" s="744"/>
      <c r="Q146" s="744"/>
      <c r="R146" s="744"/>
      <c r="S146" s="744"/>
      <c r="T146" s="744"/>
      <c r="U146" s="744"/>
      <c r="V146" s="744"/>
      <c r="W146" s="744"/>
      <c r="X146" s="744"/>
      <c r="Y146" s="744"/>
      <c r="Z146" s="744"/>
      <c r="AA146" s="744"/>
      <c r="AB146" s="744"/>
      <c r="AC146" s="744"/>
      <c r="AD146" s="744"/>
      <c r="AE146" s="744"/>
      <c r="AF146" s="744"/>
      <c r="AG146" s="744"/>
      <c r="AH146" s="744"/>
      <c r="AI146" s="744"/>
      <c r="AJ146" s="745"/>
      <c r="AK146" s="204" t="str">
        <f>IF(H6="","",IF(AND(BA46=0,BE46=0),"",IF(AK46="○","○","×")))</f>
        <v>○</v>
      </c>
      <c r="AL146" s="18"/>
    </row>
    <row r="147" spans="1:38" s="13" customFormat="1" ht="18" customHeight="1">
      <c r="A147" s="19"/>
      <c r="B147" s="543" t="s">
        <v>139</v>
      </c>
      <c r="C147" s="751" t="s">
        <v>140</v>
      </c>
      <c r="D147" s="752"/>
      <c r="E147" s="752"/>
      <c r="F147" s="752"/>
      <c r="G147" s="752"/>
      <c r="H147" s="752"/>
      <c r="I147" s="753"/>
      <c r="J147" s="746" t="s">
        <v>2271</v>
      </c>
      <c r="K147" s="746"/>
      <c r="L147" s="746"/>
      <c r="M147" s="746"/>
      <c r="N147" s="746"/>
      <c r="O147" s="746"/>
      <c r="P147" s="746"/>
      <c r="Q147" s="746"/>
      <c r="R147" s="746"/>
      <c r="S147" s="746"/>
      <c r="T147" s="746"/>
      <c r="U147" s="746"/>
      <c r="V147" s="746"/>
      <c r="W147" s="746"/>
      <c r="X147" s="746"/>
      <c r="Y147" s="746"/>
      <c r="Z147" s="746"/>
      <c r="AA147" s="746"/>
      <c r="AB147" s="746"/>
      <c r="AC147" s="746"/>
      <c r="AD147" s="746"/>
      <c r="AE147" s="746"/>
      <c r="AF147" s="746"/>
      <c r="AG147" s="746"/>
      <c r="AH147" s="746"/>
      <c r="AI147" s="746"/>
      <c r="AJ147" s="747"/>
      <c r="AK147" s="204" t="str">
        <f>IF(H6="","",IF(AND(BA51=0,BE51=0),"",IF(AK51="○","○","×")))</f>
        <v>○</v>
      </c>
      <c r="AL147" s="206"/>
    </row>
    <row r="148" spans="1:38" s="13" customFormat="1" ht="22.15" customHeight="1">
      <c r="A148" s="19"/>
      <c r="B148" s="737" t="s">
        <v>141</v>
      </c>
      <c r="C148" s="738" t="s">
        <v>142</v>
      </c>
      <c r="D148" s="739"/>
      <c r="E148" s="739"/>
      <c r="F148" s="739"/>
      <c r="G148" s="739"/>
      <c r="H148" s="739"/>
      <c r="I148" s="740"/>
      <c r="J148" s="744" t="s">
        <v>2197</v>
      </c>
      <c r="K148" s="744"/>
      <c r="L148" s="744"/>
      <c r="M148" s="744"/>
      <c r="N148" s="744"/>
      <c r="O148" s="744"/>
      <c r="P148" s="744"/>
      <c r="Q148" s="744"/>
      <c r="R148" s="744"/>
      <c r="S148" s="744"/>
      <c r="T148" s="744"/>
      <c r="U148" s="744"/>
      <c r="V148" s="744"/>
      <c r="W148" s="744"/>
      <c r="X148" s="744"/>
      <c r="Y148" s="744"/>
      <c r="Z148" s="744"/>
      <c r="AA148" s="744"/>
      <c r="AB148" s="744"/>
      <c r="AC148" s="744"/>
      <c r="AD148" s="744"/>
      <c r="AE148" s="744"/>
      <c r="AF148" s="744"/>
      <c r="AG148" s="744"/>
      <c r="AH148" s="744"/>
      <c r="AI148" s="744"/>
      <c r="AJ148" s="745"/>
      <c r="AK148" s="204" t="str">
        <f>IF(H6="", "",IF(OR(AK54="○", AK56="○"), "○", "×"))</f>
        <v>○</v>
      </c>
      <c r="AL148" s="18"/>
    </row>
    <row r="149" spans="1:38" s="13" customFormat="1">
      <c r="A149" s="19"/>
      <c r="B149" s="737"/>
      <c r="C149" s="741"/>
      <c r="D149" s="742"/>
      <c r="E149" s="742"/>
      <c r="F149" s="742"/>
      <c r="G149" s="742"/>
      <c r="H149" s="742"/>
      <c r="I149" s="743"/>
      <c r="J149" s="746" t="s">
        <v>2272</v>
      </c>
      <c r="K149" s="746"/>
      <c r="L149" s="746"/>
      <c r="M149" s="746"/>
      <c r="N149" s="746"/>
      <c r="O149" s="746"/>
      <c r="P149" s="746"/>
      <c r="Q149" s="746"/>
      <c r="R149" s="746"/>
      <c r="S149" s="746"/>
      <c r="T149" s="746"/>
      <c r="U149" s="746"/>
      <c r="V149" s="746"/>
      <c r="W149" s="746"/>
      <c r="X149" s="746"/>
      <c r="Y149" s="746"/>
      <c r="Z149" s="746"/>
      <c r="AA149" s="746"/>
      <c r="AB149" s="746"/>
      <c r="AC149" s="746"/>
      <c r="AD149" s="746"/>
      <c r="AE149" s="746"/>
      <c r="AF149" s="746"/>
      <c r="AG149" s="746"/>
      <c r="AH149" s="746"/>
      <c r="AI149" s="746"/>
      <c r="AJ149" s="747"/>
      <c r="AK149" s="204" t="str">
        <f>IF(H6="", "", AK99)</f>
        <v>○</v>
      </c>
      <c r="AL149" s="18"/>
    </row>
    <row r="150" spans="1:38" ht="15" customHeight="1">
      <c r="A150" s="18"/>
      <c r="B150" s="375" t="s">
        <v>143</v>
      </c>
      <c r="C150" s="748" t="s">
        <v>144</v>
      </c>
      <c r="D150" s="748"/>
      <c r="E150" s="748"/>
      <c r="F150" s="748"/>
      <c r="G150" s="748"/>
      <c r="H150" s="748"/>
      <c r="I150" s="748"/>
      <c r="J150" s="749" t="s">
        <v>145</v>
      </c>
      <c r="K150" s="749"/>
      <c r="L150" s="749"/>
      <c r="M150" s="749"/>
      <c r="N150" s="749"/>
      <c r="O150" s="749"/>
      <c r="P150" s="749"/>
      <c r="Q150" s="749"/>
      <c r="R150" s="749"/>
      <c r="S150" s="749"/>
      <c r="T150" s="749"/>
      <c r="U150" s="749"/>
      <c r="V150" s="749"/>
      <c r="W150" s="749"/>
      <c r="X150" s="749"/>
      <c r="Y150" s="749"/>
      <c r="Z150" s="749"/>
      <c r="AA150" s="749"/>
      <c r="AB150" s="749"/>
      <c r="AC150" s="749"/>
      <c r="AD150" s="749"/>
      <c r="AE150" s="749"/>
      <c r="AF150" s="749"/>
      <c r="AG150" s="749"/>
      <c r="AH150" s="749"/>
      <c r="AI150" s="749"/>
      <c r="AJ150" s="750"/>
      <c r="AK150" s="376" t="str">
        <f>IF(H6="", "", AK105)</f>
        <v>○</v>
      </c>
      <c r="AL150" s="18"/>
    </row>
    <row r="151" spans="1:38" s="13" customFormat="1">
      <c r="A151" s="18"/>
      <c r="B151" s="18"/>
      <c r="C151" s="18"/>
      <c r="D151" s="18"/>
      <c r="E151" s="18"/>
      <c r="F151" s="18"/>
      <c r="G151" s="18"/>
      <c r="H151" s="18"/>
      <c r="I151" s="18"/>
      <c r="J151" s="18"/>
      <c r="K151" s="18"/>
      <c r="L151" s="18"/>
      <c r="M151" s="18"/>
      <c r="N151" s="18"/>
      <c r="O151" s="18"/>
      <c r="P151" s="18"/>
      <c r="Q151" s="18"/>
      <c r="R151" s="18"/>
      <c r="S151" s="18"/>
      <c r="T151" s="18"/>
      <c r="U151" s="18"/>
      <c r="V151" s="18"/>
      <c r="W151" s="18"/>
      <c r="X151" s="18"/>
      <c r="Y151" s="18"/>
      <c r="Z151" s="18"/>
      <c r="AA151" s="18"/>
      <c r="AB151" s="18"/>
      <c r="AC151" s="18"/>
      <c r="AD151" s="18"/>
      <c r="AE151" s="18"/>
      <c r="AF151" s="18"/>
      <c r="AG151" s="18"/>
      <c r="AH151" s="18"/>
      <c r="AI151" s="18"/>
      <c r="AJ151" s="18"/>
      <c r="AK151" s="18"/>
      <c r="AL151" s="18"/>
    </row>
    <row r="152" spans="1:38" ht="16.899999999999999" customHeight="1">
      <c r="A152" s="18"/>
      <c r="B152" s="722" t="s">
        <v>146</v>
      </c>
      <c r="C152" s="723"/>
      <c r="D152" s="723"/>
      <c r="E152" s="723"/>
      <c r="F152" s="723"/>
      <c r="G152" s="723"/>
      <c r="H152" s="723"/>
      <c r="I152" s="723"/>
      <c r="J152" s="723"/>
      <c r="K152" s="723"/>
      <c r="L152" s="723"/>
      <c r="M152" s="723"/>
      <c r="N152" s="723"/>
      <c r="O152" s="723"/>
      <c r="P152" s="723"/>
      <c r="Q152" s="723"/>
      <c r="R152" s="723"/>
      <c r="S152" s="723"/>
      <c r="T152" s="723"/>
      <c r="U152" s="723"/>
      <c r="V152" s="723"/>
      <c r="W152" s="723"/>
      <c r="X152" s="723"/>
      <c r="Y152" s="723"/>
      <c r="Z152" s="723"/>
      <c r="AA152" s="723"/>
      <c r="AB152" s="723"/>
      <c r="AC152" s="723"/>
      <c r="AD152" s="723"/>
      <c r="AE152" s="723"/>
      <c r="AF152" s="723"/>
      <c r="AG152" s="723"/>
      <c r="AH152" s="723"/>
      <c r="AI152" s="723"/>
      <c r="AJ152" s="723"/>
      <c r="AK152" s="724"/>
      <c r="AL152" s="18"/>
    </row>
    <row r="153" spans="1:38" ht="13.15" customHeight="1">
      <c r="A153" s="18"/>
      <c r="B153" s="207" t="s">
        <v>58</v>
      </c>
      <c r="C153" s="725" t="s">
        <v>147</v>
      </c>
      <c r="D153" s="726"/>
      <c r="E153" s="726"/>
      <c r="F153" s="726"/>
      <c r="G153" s="726"/>
      <c r="H153" s="726"/>
      <c r="I153" s="726"/>
      <c r="J153" s="726"/>
      <c r="K153" s="726"/>
      <c r="L153" s="726"/>
      <c r="M153" s="726"/>
      <c r="N153" s="726"/>
      <c r="O153" s="726"/>
      <c r="P153" s="726"/>
      <c r="Q153" s="726"/>
      <c r="R153" s="726"/>
      <c r="S153" s="726"/>
      <c r="T153" s="726"/>
      <c r="U153" s="726"/>
      <c r="V153" s="726"/>
      <c r="W153" s="726"/>
      <c r="X153" s="726"/>
      <c r="Y153" s="726"/>
      <c r="Z153" s="726"/>
      <c r="AA153" s="726"/>
      <c r="AB153" s="726"/>
      <c r="AC153" s="726"/>
      <c r="AD153" s="726"/>
      <c r="AE153" s="726"/>
      <c r="AF153" s="726"/>
      <c r="AG153" s="726"/>
      <c r="AH153" s="726"/>
      <c r="AI153" s="726"/>
      <c r="AJ153" s="727"/>
      <c r="AK153" s="204" t="str">
        <f>IF(H6="", "",AK115)</f>
        <v>○</v>
      </c>
      <c r="AL153" s="18"/>
    </row>
    <row r="154" spans="1:38" ht="13.15" customHeight="1">
      <c r="A154" s="18"/>
      <c r="B154" s="208" t="s">
        <v>58</v>
      </c>
      <c r="C154" s="728" t="s">
        <v>148</v>
      </c>
      <c r="D154" s="729"/>
      <c r="E154" s="729"/>
      <c r="F154" s="729"/>
      <c r="G154" s="729"/>
      <c r="H154" s="729"/>
      <c r="I154" s="729"/>
      <c r="J154" s="729"/>
      <c r="K154" s="729"/>
      <c r="L154" s="729"/>
      <c r="M154" s="729"/>
      <c r="N154" s="729"/>
      <c r="O154" s="729"/>
      <c r="P154" s="729"/>
      <c r="Q154" s="729"/>
      <c r="R154" s="729"/>
      <c r="S154" s="729"/>
      <c r="T154" s="729"/>
      <c r="U154" s="729"/>
      <c r="V154" s="729"/>
      <c r="W154" s="729"/>
      <c r="X154" s="729"/>
      <c r="Y154" s="729"/>
      <c r="Z154" s="729"/>
      <c r="AA154" s="729"/>
      <c r="AB154" s="729"/>
      <c r="AC154" s="729"/>
      <c r="AD154" s="729"/>
      <c r="AE154" s="729"/>
      <c r="AF154" s="729"/>
      <c r="AG154" s="729"/>
      <c r="AH154" s="729"/>
      <c r="AI154" s="729"/>
      <c r="AJ154" s="730"/>
      <c r="AK154" s="204" t="str">
        <f>IF(H6="", "",AK127)</f>
        <v>○</v>
      </c>
      <c r="AL154" s="18"/>
    </row>
    <row r="155" spans="1:38" ht="4.5" customHeight="1">
      <c r="A155" s="18"/>
      <c r="B155" s="18"/>
      <c r="C155" s="18"/>
      <c r="D155" s="18"/>
      <c r="E155" s="18"/>
      <c r="F155" s="18"/>
      <c r="G155" s="18"/>
      <c r="H155" s="18"/>
      <c r="I155" s="18"/>
      <c r="J155" s="18"/>
      <c r="K155" s="18"/>
      <c r="L155" s="18"/>
      <c r="M155" s="18"/>
      <c r="N155" s="18"/>
      <c r="O155" s="18"/>
      <c r="P155" s="18"/>
      <c r="Q155" s="18"/>
      <c r="R155" s="18"/>
      <c r="S155" s="18"/>
      <c r="T155" s="18"/>
      <c r="U155" s="18"/>
      <c r="V155" s="18"/>
      <c r="W155" s="18"/>
      <c r="X155" s="18"/>
      <c r="Y155" s="18"/>
      <c r="Z155" s="18"/>
      <c r="AA155" s="18"/>
      <c r="AB155" s="18"/>
      <c r="AC155" s="18"/>
      <c r="AD155" s="18"/>
      <c r="AE155" s="18"/>
      <c r="AF155" s="18"/>
      <c r="AG155" s="18"/>
      <c r="AH155" s="18"/>
      <c r="AI155" s="18"/>
      <c r="AJ155" s="18"/>
      <c r="AK155" s="18"/>
      <c r="AL155" s="18"/>
    </row>
    <row r="156" spans="1:38" ht="22.9" customHeight="1"/>
    <row r="157" spans="1:38" ht="13.15" customHeight="1"/>
    <row r="163" ht="13.15" customHeight="1"/>
    <row r="165" ht="27.6" customHeight="1"/>
    <row r="166" ht="27" customHeight="1"/>
    <row r="167" ht="19.899999999999999" customHeight="1"/>
    <row r="168" ht="18" customHeight="1"/>
    <row r="169" s="14" customFormat="1" ht="12.75"/>
    <row r="170" s="14" customFormat="1" ht="12.75"/>
    <row r="171" s="14" customFormat="1" ht="24" customHeight="1"/>
    <row r="172" ht="26.45" customHeight="1"/>
    <row r="173" ht="34.15" customHeight="1"/>
    <row r="174" ht="33.6" customHeight="1"/>
    <row r="175" ht="15.6" customHeight="1"/>
  </sheetData>
  <sheetProtection algorithmName="SHA-512" hashValue="euNRonsdyeruxS7makZn6dtS2+fYI4f+DepI4qCVBqu1V29f/HRVtjqOkIy2p2ashp6cccyPNmdIm+7kgCVcsA==" saltValue="Xc0kvJaPmFAy52jAmDiNqw==" spinCount="100000" sheet="1" formatCells="0" formatColumns="0" formatRows="0" sort="0" autoFilter="0"/>
  <mergeCells count="236">
    <mergeCell ref="BI37:BN37"/>
    <mergeCell ref="BI38:BN38"/>
    <mergeCell ref="C65:AK65"/>
    <mergeCell ref="AI64:AJ64"/>
    <mergeCell ref="C109:V109"/>
    <mergeCell ref="W109:Z109"/>
    <mergeCell ref="C110:V110"/>
    <mergeCell ref="W110:Z110"/>
    <mergeCell ref="AC110:AC111"/>
    <mergeCell ref="B41:AK41"/>
    <mergeCell ref="BA41:BD41"/>
    <mergeCell ref="BE41:BH41"/>
    <mergeCell ref="B42:AJ42"/>
    <mergeCell ref="BA42:BD42"/>
    <mergeCell ref="BE42:BH42"/>
    <mergeCell ref="BE37:BH37"/>
    <mergeCell ref="B38:AJ38"/>
    <mergeCell ref="BA38:BD38"/>
    <mergeCell ref="BE38:BH38"/>
    <mergeCell ref="B39:AJ39"/>
    <mergeCell ref="B40:AK40"/>
    <mergeCell ref="B47:AJ47"/>
    <mergeCell ref="B50:AK50"/>
    <mergeCell ref="BA50:BD50"/>
    <mergeCell ref="B7:G9"/>
    <mergeCell ref="I7:L7"/>
    <mergeCell ref="H8:AK8"/>
    <mergeCell ref="H9:AK9"/>
    <mergeCell ref="B10:G10"/>
    <mergeCell ref="H10:AK10"/>
    <mergeCell ref="AC1:AE1"/>
    <mergeCell ref="AF1:AK1"/>
    <mergeCell ref="B3:AK3"/>
    <mergeCell ref="B5:G5"/>
    <mergeCell ref="H5:AK5"/>
    <mergeCell ref="B6:G6"/>
    <mergeCell ref="H6:AK6"/>
    <mergeCell ref="B15:W15"/>
    <mergeCell ref="C16:P16"/>
    <mergeCell ref="Q16:V16"/>
    <mergeCell ref="C17:P17"/>
    <mergeCell ref="Q17:V17"/>
    <mergeCell ref="C18:P18"/>
    <mergeCell ref="Q18:V18"/>
    <mergeCell ref="B11:G11"/>
    <mergeCell ref="H11:AK11"/>
    <mergeCell ref="B12:G12"/>
    <mergeCell ref="H12:K12"/>
    <mergeCell ref="L12:U12"/>
    <mergeCell ref="V12:Y12"/>
    <mergeCell ref="Z12:AK12"/>
    <mergeCell ref="B20:W20"/>
    <mergeCell ref="C21:P21"/>
    <mergeCell ref="Q21:V21"/>
    <mergeCell ref="Y21:Y22"/>
    <mergeCell ref="AA21:AA24"/>
    <mergeCell ref="C22:P22"/>
    <mergeCell ref="Q22:V22"/>
    <mergeCell ref="C23:P23"/>
    <mergeCell ref="Q23:V23"/>
    <mergeCell ref="C24:P24"/>
    <mergeCell ref="AM31:AY32"/>
    <mergeCell ref="C32:S32"/>
    <mergeCell ref="T32:Y32"/>
    <mergeCell ref="C35:AK35"/>
    <mergeCell ref="B37:AK37"/>
    <mergeCell ref="BA37:BD37"/>
    <mergeCell ref="Q24:V24"/>
    <mergeCell ref="C26:AK26"/>
    <mergeCell ref="B28:AK28"/>
    <mergeCell ref="B29:AK29"/>
    <mergeCell ref="B30:Z30"/>
    <mergeCell ref="C31:S31"/>
    <mergeCell ref="T31:Y31"/>
    <mergeCell ref="AB31:AB32"/>
    <mergeCell ref="BE50:BH50"/>
    <mergeCell ref="B51:AJ51"/>
    <mergeCell ref="BA51:BD51"/>
    <mergeCell ref="BE51:BH51"/>
    <mergeCell ref="B43:AJ43"/>
    <mergeCell ref="B45:AK45"/>
    <mergeCell ref="BA45:BD45"/>
    <mergeCell ref="BE45:BH45"/>
    <mergeCell ref="B46:AJ46"/>
    <mergeCell ref="BA46:BD46"/>
    <mergeCell ref="BE46:BH46"/>
    <mergeCell ref="C62:AK62"/>
    <mergeCell ref="B67:D67"/>
    <mergeCell ref="E67:AK67"/>
    <mergeCell ref="B68:D71"/>
    <mergeCell ref="E68:F68"/>
    <mergeCell ref="G68:AK68"/>
    <mergeCell ref="B53:AK53"/>
    <mergeCell ref="B54:AJ54"/>
    <mergeCell ref="B55:AJ55"/>
    <mergeCell ref="B56:AJ56"/>
    <mergeCell ref="C59:AK59"/>
    <mergeCell ref="AI58:AJ58"/>
    <mergeCell ref="AI61:AJ61"/>
    <mergeCell ref="G74:AK74"/>
    <mergeCell ref="E75:F75"/>
    <mergeCell ref="AM68:AX69"/>
    <mergeCell ref="BA68:BA71"/>
    <mergeCell ref="E69:F69"/>
    <mergeCell ref="G69:AK69"/>
    <mergeCell ref="E70:F70"/>
    <mergeCell ref="G70:AK70"/>
    <mergeCell ref="E71:F71"/>
    <mergeCell ref="G71:AK71"/>
    <mergeCell ref="E79:F79"/>
    <mergeCell ref="G79:AK79"/>
    <mergeCell ref="E80:F80"/>
    <mergeCell ref="G80:AK80"/>
    <mergeCell ref="AM80:AX81"/>
    <mergeCell ref="BA80:BA83"/>
    <mergeCell ref="G75:AK75"/>
    <mergeCell ref="B76:D80"/>
    <mergeCell ref="E76:F76"/>
    <mergeCell ref="G76:AK76"/>
    <mergeCell ref="AM76:AX77"/>
    <mergeCell ref="BA76:BA79"/>
    <mergeCell ref="E77:F77"/>
    <mergeCell ref="G77:AK77"/>
    <mergeCell ref="E78:F78"/>
    <mergeCell ref="G78:AK78"/>
    <mergeCell ref="B72:D75"/>
    <mergeCell ref="E72:F72"/>
    <mergeCell ref="G72:AK72"/>
    <mergeCell ref="AM72:AX73"/>
    <mergeCell ref="BA72:BA75"/>
    <mergeCell ref="E73:F73"/>
    <mergeCell ref="G73:AK73"/>
    <mergeCell ref="E74:F74"/>
    <mergeCell ref="AM84:AX84"/>
    <mergeCell ref="BA84:BA91"/>
    <mergeCell ref="B85:D92"/>
    <mergeCell ref="E85:F85"/>
    <mergeCell ref="G85:AK85"/>
    <mergeCell ref="E86:F86"/>
    <mergeCell ref="G86:AK86"/>
    <mergeCell ref="AM86:AX87"/>
    <mergeCell ref="E87:F87"/>
    <mergeCell ref="G87:AK87"/>
    <mergeCell ref="B81:D84"/>
    <mergeCell ref="E81:F81"/>
    <mergeCell ref="G81:AK81"/>
    <mergeCell ref="E82:F82"/>
    <mergeCell ref="G82:AK82"/>
    <mergeCell ref="E83:F83"/>
    <mergeCell ref="G83:AK83"/>
    <mergeCell ref="E84:F84"/>
    <mergeCell ref="G84:AK84"/>
    <mergeCell ref="AM85:AX85"/>
    <mergeCell ref="B93:D96"/>
    <mergeCell ref="E93:F93"/>
    <mergeCell ref="G93:AK93"/>
    <mergeCell ref="E88:F88"/>
    <mergeCell ref="G88:AK88"/>
    <mergeCell ref="E89:F89"/>
    <mergeCell ref="G89:AK89"/>
    <mergeCell ref="E90:F90"/>
    <mergeCell ref="G90:AK90"/>
    <mergeCell ref="AM93:AX94"/>
    <mergeCell ref="BA93:BA96"/>
    <mergeCell ref="E94:F94"/>
    <mergeCell ref="G94:AK94"/>
    <mergeCell ref="E95:F95"/>
    <mergeCell ref="G95:AK95"/>
    <mergeCell ref="E96:F96"/>
    <mergeCell ref="G96:AK96"/>
    <mergeCell ref="E91:F91"/>
    <mergeCell ref="G91:AK91"/>
    <mergeCell ref="E92:F92"/>
    <mergeCell ref="G92:AK92"/>
    <mergeCell ref="BA103:BD103"/>
    <mergeCell ref="B105:AJ105"/>
    <mergeCell ref="AE115:AJ115"/>
    <mergeCell ref="AM115:AY115"/>
    <mergeCell ref="C116:AD116"/>
    <mergeCell ref="AE116:AK116"/>
    <mergeCell ref="W108:Z108"/>
    <mergeCell ref="C99:AJ99"/>
    <mergeCell ref="B100:E101"/>
    <mergeCell ref="G100:AK100"/>
    <mergeCell ref="AM100:AX101"/>
    <mergeCell ref="G101:AK101"/>
    <mergeCell ref="AM103:AY104"/>
    <mergeCell ref="W111:Z111"/>
    <mergeCell ref="C120:AD120"/>
    <mergeCell ref="AE120:AK120"/>
    <mergeCell ref="C121:AD121"/>
    <mergeCell ref="AE121:AK121"/>
    <mergeCell ref="C122:AD122"/>
    <mergeCell ref="AE122:AK122"/>
    <mergeCell ref="C117:AD117"/>
    <mergeCell ref="AE117:AK117"/>
    <mergeCell ref="C118:AD118"/>
    <mergeCell ref="AE118:AK118"/>
    <mergeCell ref="C119:AD119"/>
    <mergeCell ref="AE119:AK119"/>
    <mergeCell ref="R132:S132"/>
    <mergeCell ref="T132:X132"/>
    <mergeCell ref="Y132:Z132"/>
    <mergeCell ref="AA132:AI132"/>
    <mergeCell ref="B139:AK139"/>
    <mergeCell ref="C125:AK125"/>
    <mergeCell ref="C129:AJ129"/>
    <mergeCell ref="E131:F131"/>
    <mergeCell ref="H131:I131"/>
    <mergeCell ref="K131:L131"/>
    <mergeCell ref="O131:Q131"/>
    <mergeCell ref="R131:AI131"/>
    <mergeCell ref="B152:AK152"/>
    <mergeCell ref="C153:AJ153"/>
    <mergeCell ref="C154:AJ154"/>
    <mergeCell ref="C111:V111"/>
    <mergeCell ref="C108:V108"/>
    <mergeCell ref="B148:B149"/>
    <mergeCell ref="C148:I149"/>
    <mergeCell ref="J148:AJ148"/>
    <mergeCell ref="J149:AJ149"/>
    <mergeCell ref="C150:I150"/>
    <mergeCell ref="J150:AJ150"/>
    <mergeCell ref="C145:I145"/>
    <mergeCell ref="J145:AJ145"/>
    <mergeCell ref="C146:I146"/>
    <mergeCell ref="J146:AJ146"/>
    <mergeCell ref="C147:I147"/>
    <mergeCell ref="J147:AJ147"/>
    <mergeCell ref="B140:AJ140"/>
    <mergeCell ref="B142:AK142"/>
    <mergeCell ref="C143:I143"/>
    <mergeCell ref="J143:AJ143"/>
    <mergeCell ref="C144:I144"/>
    <mergeCell ref="J144:AJ144"/>
    <mergeCell ref="N132:Q132"/>
  </mergeCells>
  <phoneticPr fontId="13"/>
  <conditionalFormatting sqref="A104:AJ104 A105:B105 AK105">
    <cfRule type="expression" dxfId="82" priority="31">
      <formula>AND($C$60=0,#REF!&lt;&gt;"")</formula>
    </cfRule>
  </conditionalFormatting>
  <conditionalFormatting sqref="B105 AK105">
    <cfRule type="expression" dxfId="81" priority="30">
      <formula>AND($L$60=0,#REF!&lt;&gt;"")</formula>
    </cfRule>
  </conditionalFormatting>
  <conditionalFormatting sqref="B23:Z24">
    <cfRule type="expression" dxfId="80" priority="4">
      <formula>$Y$21="○"</formula>
    </cfRule>
  </conditionalFormatting>
  <conditionalFormatting sqref="B54:AJ54">
    <cfRule type="expression" dxfId="79" priority="9">
      <formula>AND(#REF!=0,#REF!=0)</formula>
    </cfRule>
  </conditionalFormatting>
  <conditionalFormatting sqref="B55:AJ55">
    <cfRule type="expression" dxfId="78" priority="12">
      <formula>AK54="○"</formula>
    </cfRule>
  </conditionalFormatting>
  <conditionalFormatting sqref="B42:AK43">
    <cfRule type="expression" dxfId="77" priority="33">
      <formula>AND($BA$42=0,$BE$42=0,$H$6&lt;&gt;"")</formula>
    </cfRule>
  </conditionalFormatting>
  <conditionalFormatting sqref="B46:AK48 B98:AK98 B99:C99 AK99 B100:AK101">
    <cfRule type="expression" dxfId="76" priority="44">
      <formula>AND($BA$46=0,$BE$46=0,$H$6&lt;&gt;"")</formula>
    </cfRule>
  </conditionalFormatting>
  <conditionalFormatting sqref="B47:AK47">
    <cfRule type="expression" dxfId="75" priority="26">
      <formula>AND($BA$42=0,$BE$42=0,$H$6&lt;&gt;"")</formula>
    </cfRule>
  </conditionalFormatting>
  <conditionalFormatting sqref="B51:AK51">
    <cfRule type="expression" dxfId="74" priority="45">
      <formula>AND($BA$51=0,$BE$51=0,$H$6&lt;&gt;"")</formula>
    </cfRule>
  </conditionalFormatting>
  <conditionalFormatting sqref="B55:AK55">
    <cfRule type="expression" dxfId="73" priority="13">
      <formula>AND($BA$42=0, $BE$42=0,$H$6&lt;&gt;"")</formula>
    </cfRule>
    <cfRule type="expression" dxfId="72" priority="24">
      <formula>AND($BA$46=0, $BE$46=0,$H$6&lt;&gt;"")</formula>
    </cfRule>
  </conditionalFormatting>
  <conditionalFormatting sqref="F100:F101">
    <cfRule type="expression" dxfId="71" priority="10">
      <formula>$AI$58=""</formula>
    </cfRule>
  </conditionalFormatting>
  <conditionalFormatting sqref="G68:G97">
    <cfRule type="expression" dxfId="70" priority="29">
      <formula>AND($C$78=0,#REF!&lt;&gt;"")</formula>
    </cfRule>
  </conditionalFormatting>
  <conditionalFormatting sqref="Y21:Y22">
    <cfRule type="expression" dxfId="69" priority="5">
      <formula>$Y$21="○"</formula>
    </cfRule>
  </conditionalFormatting>
  <conditionalFormatting sqref="Z18">
    <cfRule type="expression" dxfId="68" priority="41">
      <formula>#REF!="○"</formula>
    </cfRule>
  </conditionalFormatting>
  <conditionalFormatting sqref="Z21:Z23">
    <cfRule type="expression" dxfId="67" priority="3">
      <formula>$Y$21="○"</formula>
    </cfRule>
  </conditionalFormatting>
  <conditionalFormatting sqref="AA21:AA24">
    <cfRule type="expression" dxfId="66" priority="2">
      <formula>$Y$21="○"</formula>
    </cfRule>
  </conditionalFormatting>
  <conditionalFormatting sqref="AK38">
    <cfRule type="expression" dxfId="65" priority="16">
      <formula>AK39="✓"</formula>
    </cfRule>
  </conditionalFormatting>
  <conditionalFormatting sqref="AK39">
    <cfRule type="expression" dxfId="64" priority="21">
      <formula>$AK$38="○"</formula>
    </cfRule>
  </conditionalFormatting>
  <conditionalFormatting sqref="AK42">
    <cfRule type="expression" dxfId="63" priority="18">
      <formula>AK43="✓"</formula>
    </cfRule>
  </conditionalFormatting>
  <conditionalFormatting sqref="AK43">
    <cfRule type="expression" dxfId="62" priority="15">
      <formula>AK42="○"</formula>
    </cfRule>
    <cfRule type="expression" dxfId="61" priority="20">
      <formula>$AK$42="○"</formula>
    </cfRule>
  </conditionalFormatting>
  <conditionalFormatting sqref="AK46">
    <cfRule type="expression" dxfId="60" priority="17">
      <formula>AK47="✓"</formula>
    </cfRule>
  </conditionalFormatting>
  <conditionalFormatting sqref="AK47">
    <cfRule type="expression" dxfId="59" priority="14">
      <formula>AK46="○"</formula>
    </cfRule>
    <cfRule type="expression" dxfId="58" priority="19">
      <formula>$AK$46="○"</formula>
    </cfRule>
  </conditionalFormatting>
  <conditionalFormatting sqref="AK54:AK55">
    <cfRule type="expression" dxfId="57" priority="27">
      <formula>AND(#REF!=0,#REF!=0)</formula>
    </cfRule>
    <cfRule type="expression" dxfId="56" priority="25">
      <formula>AND($BA$51="0", $BE$51="0",$H$6&lt;&gt;"")</formula>
    </cfRule>
  </conditionalFormatting>
  <conditionalFormatting sqref="AK55">
    <cfRule type="expression" dxfId="55" priority="7">
      <formula>AK54="○"</formula>
    </cfRule>
  </conditionalFormatting>
  <conditionalFormatting sqref="AK56">
    <cfRule type="expression" dxfId="54" priority="22">
      <formula>AND($AK$54="○",$AK$55="✓")</formula>
    </cfRule>
    <cfRule type="expression" dxfId="53" priority="6">
      <formula>$AK$54="○"</formula>
    </cfRule>
  </conditionalFormatting>
  <conditionalFormatting sqref="AK99">
    <cfRule type="expression" dxfId="52" priority="11">
      <formula>$AI$58=""</formula>
    </cfRule>
  </conditionalFormatting>
  <conditionalFormatting sqref="AK145">
    <cfRule type="expression" dxfId="51" priority="37">
      <formula>AND($AK$145="", $H$6&lt;&gt;"")</formula>
    </cfRule>
  </conditionalFormatting>
  <conditionalFormatting sqref="AK146">
    <cfRule type="expression" dxfId="50" priority="36">
      <formula>AND($AK$146="", $H$6&lt;&gt;"")</formula>
    </cfRule>
  </conditionalFormatting>
  <conditionalFormatting sqref="AK147">
    <cfRule type="expression" dxfId="49" priority="35">
      <formula>AND($AK$147="", $H$6&lt;&gt;"")</formula>
    </cfRule>
  </conditionalFormatting>
  <conditionalFormatting sqref="AK149">
    <cfRule type="expression" dxfId="48" priority="34">
      <formula>AND($AK$149="", $H$6&lt;&gt;"")</formula>
    </cfRule>
  </conditionalFormatting>
  <conditionalFormatting sqref="AK150">
    <cfRule type="expression" dxfId="47" priority="23">
      <formula>AND(AK150="", $H$7&lt;&gt;"")</formula>
    </cfRule>
  </conditionalFormatting>
  <conditionalFormatting sqref="AM31">
    <cfRule type="expression" dxfId="46" priority="38">
      <formula>$AB$31="○"</formula>
    </cfRule>
  </conditionalFormatting>
  <conditionalFormatting sqref="AM100">
    <cfRule type="expression" dxfId="45" priority="39">
      <formula>$AK$99&lt;&gt;"×"</formula>
    </cfRule>
  </conditionalFormatting>
  <conditionalFormatting sqref="AM68:AX69">
    <cfRule type="expression" dxfId="44" priority="46">
      <formula>OR(AND($AI$58="該当", $BA$68&gt;=2), AND($AI$58="", $BA$68&gt;=1), $AK$54="○")</formula>
    </cfRule>
  </conditionalFormatting>
  <conditionalFormatting sqref="AM72:AX73">
    <cfRule type="expression" dxfId="43" priority="47">
      <formula>OR(AND($AI$58="該当",$BA$72&gt;=2), AND($AI$58="", $BA$72&gt;=1), $AK$54="○")</formula>
    </cfRule>
  </conditionalFormatting>
  <conditionalFormatting sqref="AM76:AX77">
    <cfRule type="expression" dxfId="42" priority="48">
      <formula>OR(AND($AI$58="該当", $BA$76&gt;=2), AND($AI$58="", $BA$76&gt;=1), $AK$54="○")</formula>
    </cfRule>
  </conditionalFormatting>
  <conditionalFormatting sqref="AM80:AX81">
    <cfRule type="expression" dxfId="41" priority="49">
      <formula>OR(AND($AI$58="該当", $BA$80&gt;=2), AND($AI$58="", $BA$80&gt;=1), $AK$54="○")</formula>
    </cfRule>
  </conditionalFormatting>
  <conditionalFormatting sqref="AM84:AX84">
    <cfRule type="expression" dxfId="40" priority="52">
      <formula>OR($AI$58="", $E$84&lt;&gt;"", $E$85&lt;&gt;"", $AK$54="✓")</formula>
    </cfRule>
  </conditionalFormatting>
  <conditionalFormatting sqref="AM85:AX85">
    <cfRule type="expression" dxfId="39" priority="1">
      <formula>OR(AI58="",E84&lt;&gt;"",E85&lt;&gt;"",AK54="✓")</formula>
    </cfRule>
  </conditionalFormatting>
  <conditionalFormatting sqref="AM86:AX87">
    <cfRule type="expression" dxfId="38" priority="50">
      <formula>OR(AND($AI$58="該当", $BA$84&gt;=3), AND($AI$58="", $BA$84&gt;=2), $AK$54="○")</formula>
    </cfRule>
  </conditionalFormatting>
  <conditionalFormatting sqref="AM93:AX94">
    <cfRule type="expression" dxfId="37" priority="51">
      <formula>OR(AND($AI$58="該当", $BA$93&gt;=2), AND($AI$58="", $BA$93&gt;=1), $AK$54="○")</formula>
    </cfRule>
  </conditionalFormatting>
  <conditionalFormatting sqref="AM37:AY39 AM106:AY112">
    <cfRule type="expression" dxfId="36" priority="42">
      <formula>$AK$38=""</formula>
    </cfRule>
  </conditionalFormatting>
  <conditionalFormatting sqref="AM41:AY43">
    <cfRule type="expression" dxfId="35" priority="43">
      <formula>$AK$42=""</formula>
    </cfRule>
  </conditionalFormatting>
  <conditionalFormatting sqref="AM54:AY57 AM115:AY115">
    <cfRule type="expression" dxfId="34" priority="40">
      <formula>$AK$115&lt;&gt;"×"</formula>
    </cfRule>
  </conditionalFormatting>
  <conditionalFormatting sqref="AM103:AY103">
    <cfRule type="expression" dxfId="33" priority="32">
      <formula>$AK$38=""</formula>
    </cfRule>
  </conditionalFormatting>
  <conditionalFormatting sqref="AQ59">
    <cfRule type="expression" dxfId="32" priority="28">
      <formula>#REF!&lt;&gt;""</formula>
    </cfRule>
  </conditionalFormatting>
  <dataValidations count="5">
    <dataValidation type="whole" imeMode="halfAlpha" allowBlank="1" showInputMessage="1" showErrorMessage="1" sqref="K131:L131" xr:uid="{78A475C7-E093-4E14-9850-C9EE82732DC2}">
      <formula1>1</formula1>
      <formula2>31</formula2>
    </dataValidation>
    <dataValidation type="whole" imeMode="halfAlpha" allowBlank="1" showInputMessage="1" showErrorMessage="1" sqref="H131:I131" xr:uid="{BEBAFB9F-9B2F-4681-87A9-8B89EA995817}">
      <formula1>1</formula1>
      <formula2>12</formula2>
    </dataValidation>
    <dataValidation type="whole" imeMode="halfAlpha" allowBlank="1" showInputMessage="1" showErrorMessage="1" error="8 or 9 " sqref="E131:F131" xr:uid="{9854CB25-FE38-4723-A68E-0380B4CE2FE7}">
      <formula1>8</formula1>
      <formula2>9</formula2>
    </dataValidation>
    <dataValidation imeMode="hiragana" allowBlank="1" showInputMessage="1" showErrorMessage="1" sqref="X133:X134 T132" xr:uid="{641FDEAD-E4EA-488A-86B3-9A43F5AAC291}"/>
    <dataValidation imeMode="halfAlpha" allowBlank="1" showInputMessage="1" showErrorMessage="1" sqref="B12 L12" xr:uid="{899B67CC-65BA-4084-A27A-966B8B6DEDC0}"/>
  </dataValidations>
  <pageMargins left="0.70866141732283472" right="0.70866141732283472" top="0.74803149606299213" bottom="0.74803149606299213" header="0.31496062992125984" footer="0.31496062992125984"/>
  <pageSetup paperSize="9" scale="83" fitToHeight="0" orientation="portrait" r:id="rId1"/>
  <rowBreaks count="3" manualBreakCount="3">
    <brk id="52" max="37" man="1"/>
    <brk id="97" max="37" man="1"/>
    <brk id="134" max="37" man="1"/>
  </rowBreaks>
  <drawing r:id="rId2"/>
  <legacyDrawing r:id="rId3"/>
  <mc:AlternateContent xmlns:mc="http://schemas.openxmlformats.org/markup-compatibility/2006">
    <mc:Choice Requires="x14">
      <controls>
        <mc:AlternateContent xmlns:mc="http://schemas.openxmlformats.org/markup-compatibility/2006">
          <mc:Choice Requires="x14">
            <control shapeId="133121" r:id="rId4" name="Check Box 1">
              <controlPr locked="0" defaultSize="0" autoFill="0" autoLine="0" autoPict="0">
                <anchor moveWithCells="1">
                  <from>
                    <xdr:col>0</xdr:col>
                    <xdr:colOff>133350</xdr:colOff>
                    <xdr:row>115</xdr:row>
                    <xdr:rowOff>133350</xdr:rowOff>
                  </from>
                  <to>
                    <xdr:col>1</xdr:col>
                    <xdr:colOff>190500</xdr:colOff>
                    <xdr:row>115</xdr:row>
                    <xdr:rowOff>457200</xdr:rowOff>
                  </to>
                </anchor>
              </controlPr>
            </control>
          </mc:Choice>
        </mc:AlternateContent>
        <mc:AlternateContent xmlns:mc="http://schemas.openxmlformats.org/markup-compatibility/2006">
          <mc:Choice Requires="x14">
            <control shapeId="133122" r:id="rId5" name="Check Box 2">
              <controlPr defaultSize="0" autoFill="0" autoLine="0" autoPict="0">
                <anchor moveWithCells="1">
                  <from>
                    <xdr:col>0</xdr:col>
                    <xdr:colOff>133350</xdr:colOff>
                    <xdr:row>116</xdr:row>
                    <xdr:rowOff>19050</xdr:rowOff>
                  </from>
                  <to>
                    <xdr:col>2</xdr:col>
                    <xdr:colOff>9525</xdr:colOff>
                    <xdr:row>117</xdr:row>
                    <xdr:rowOff>19050</xdr:rowOff>
                  </to>
                </anchor>
              </controlPr>
            </control>
          </mc:Choice>
        </mc:AlternateContent>
        <mc:AlternateContent xmlns:mc="http://schemas.openxmlformats.org/markup-compatibility/2006">
          <mc:Choice Requires="x14">
            <control shapeId="133123" r:id="rId6" name="Check Box 3">
              <controlPr defaultSize="0" autoFill="0" autoLine="0" autoPict="0">
                <anchor moveWithCells="1">
                  <from>
                    <xdr:col>0</xdr:col>
                    <xdr:colOff>133350</xdr:colOff>
                    <xdr:row>117</xdr:row>
                    <xdr:rowOff>19050</xdr:rowOff>
                  </from>
                  <to>
                    <xdr:col>2</xdr:col>
                    <xdr:colOff>9525</xdr:colOff>
                    <xdr:row>118</xdr:row>
                    <xdr:rowOff>0</xdr:rowOff>
                  </to>
                </anchor>
              </controlPr>
            </control>
          </mc:Choice>
        </mc:AlternateContent>
        <mc:AlternateContent xmlns:mc="http://schemas.openxmlformats.org/markup-compatibility/2006">
          <mc:Choice Requires="x14">
            <control shapeId="133124" r:id="rId7" name="Check Box 4">
              <controlPr defaultSize="0" autoFill="0" autoLine="0" autoPict="0">
                <anchor moveWithCells="1">
                  <from>
                    <xdr:col>0</xdr:col>
                    <xdr:colOff>133350</xdr:colOff>
                    <xdr:row>118</xdr:row>
                    <xdr:rowOff>19050</xdr:rowOff>
                  </from>
                  <to>
                    <xdr:col>2</xdr:col>
                    <xdr:colOff>9525</xdr:colOff>
                    <xdr:row>119</xdr:row>
                    <xdr:rowOff>19050</xdr:rowOff>
                  </to>
                </anchor>
              </controlPr>
            </control>
          </mc:Choice>
        </mc:AlternateContent>
        <mc:AlternateContent xmlns:mc="http://schemas.openxmlformats.org/markup-compatibility/2006">
          <mc:Choice Requires="x14">
            <control shapeId="133125" r:id="rId8" name="Check Box 5">
              <controlPr defaultSize="0" autoFill="0" autoLine="0" autoPict="0">
                <anchor moveWithCells="1">
                  <from>
                    <xdr:col>0</xdr:col>
                    <xdr:colOff>133350</xdr:colOff>
                    <xdr:row>119</xdr:row>
                    <xdr:rowOff>19050</xdr:rowOff>
                  </from>
                  <to>
                    <xdr:col>2</xdr:col>
                    <xdr:colOff>0</xdr:colOff>
                    <xdr:row>120</xdr:row>
                    <xdr:rowOff>0</xdr:rowOff>
                  </to>
                </anchor>
              </controlPr>
            </control>
          </mc:Choice>
        </mc:AlternateContent>
        <mc:AlternateContent xmlns:mc="http://schemas.openxmlformats.org/markup-compatibility/2006">
          <mc:Choice Requires="x14">
            <control shapeId="133126" r:id="rId9" name="Check Box 6">
              <controlPr defaultSize="0" autoFill="0" autoLine="0" autoPict="0">
                <anchor moveWithCells="1">
                  <from>
                    <xdr:col>0</xdr:col>
                    <xdr:colOff>133350</xdr:colOff>
                    <xdr:row>121</xdr:row>
                    <xdr:rowOff>19050</xdr:rowOff>
                  </from>
                  <to>
                    <xdr:col>2</xdr:col>
                    <xdr:colOff>0</xdr:colOff>
                    <xdr:row>122</xdr:row>
                    <xdr:rowOff>19050</xdr:rowOff>
                  </to>
                </anchor>
              </controlPr>
            </control>
          </mc:Choice>
        </mc:AlternateContent>
        <mc:AlternateContent xmlns:mc="http://schemas.openxmlformats.org/markup-compatibility/2006">
          <mc:Choice Requires="x14">
            <control shapeId="133127" r:id="rId10" name="Check Box 7">
              <controlPr defaultSize="0" autoFill="0" autoLine="0" autoPict="0">
                <anchor moveWithCells="1">
                  <from>
                    <xdr:col>0</xdr:col>
                    <xdr:colOff>133350</xdr:colOff>
                    <xdr:row>120</xdr:row>
                    <xdr:rowOff>19050</xdr:rowOff>
                  </from>
                  <to>
                    <xdr:col>2</xdr:col>
                    <xdr:colOff>9525</xdr:colOff>
                    <xdr:row>121</xdr:row>
                    <xdr:rowOff>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2">
        <x14:dataValidation type="list" allowBlank="1" showInputMessage="1" showErrorMessage="1" xr:uid="{F8B1D3C9-31D5-4A46-B0A3-0B32C0F79089}">
          <x14:formula1>
            <xm:f>【参考】数式用!$BH$3:$BH$5</xm:f>
          </x14:formula1>
          <xm:sqref>E68:F96</xm:sqref>
        </x14:dataValidation>
        <x14:dataValidation type="list" allowBlank="1" showInputMessage="1" showErrorMessage="1" xr:uid="{FC77AA9D-30DC-4366-9DA4-AA9A5A349291}">
          <x14:formula1>
            <xm:f>【参考】数式用!$AJ$3:$AJ$4</xm:f>
          </x14:formula1>
          <xm:sqref>F100:F101 AK55 AK47 AK43 AK39</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041FFC-2440-4342-8B2C-28F6B133AB16}">
  <sheetPr>
    <pageSetUpPr fitToPage="1"/>
  </sheetPr>
  <dimension ref="A1:BQ113"/>
  <sheetViews>
    <sheetView view="pageBreakPreview" zoomScale="60" zoomScaleNormal="85" zoomScalePageLayoutView="70" workbookViewId="0"/>
  </sheetViews>
  <sheetFormatPr defaultColWidth="2.375" defaultRowHeight="17.25"/>
  <cols>
    <col min="1" max="1" width="5.375" customWidth="1"/>
    <col min="2" max="6" width="2.375" style="262" customWidth="1"/>
    <col min="7" max="7" width="12.375" customWidth="1"/>
    <col min="8" max="8" width="9" customWidth="1"/>
    <col min="9" max="9" width="9.375" style="58" customWidth="1"/>
    <col min="10" max="10" width="19.375" customWidth="1"/>
    <col min="11" max="11" width="17.375" style="24" customWidth="1"/>
    <col min="12" max="14" width="14" customWidth="1"/>
    <col min="15" max="15" width="20.75" style="257" customWidth="1"/>
    <col min="16" max="16" width="12" style="47" customWidth="1"/>
    <col min="17" max="17" width="6.375" style="258" customWidth="1"/>
    <col min="18" max="18" width="3" style="47" customWidth="1"/>
    <col min="19" max="19" width="3.75" style="24" customWidth="1"/>
    <col min="20" max="20" width="3.375" style="259" customWidth="1"/>
    <col min="21" max="21" width="10.25" style="24" customWidth="1"/>
    <col min="22" max="22" width="3.375" style="259" customWidth="1"/>
    <col min="23" max="23" width="3.375" style="24" customWidth="1"/>
    <col min="24" max="24" width="2.875" style="259" customWidth="1"/>
    <col min="25" max="25" width="2.875" style="24" customWidth="1"/>
    <col min="26" max="26" width="3.375" style="259" customWidth="1"/>
    <col min="27" max="27" width="2.875" style="24" customWidth="1"/>
    <col min="28" max="28" width="7.375" style="24" customWidth="1"/>
    <col min="29" max="30" width="16.875" style="24" customWidth="1"/>
    <col min="31" max="31" width="15" style="24" customWidth="1"/>
    <col min="32" max="32" width="18.125" style="47" customWidth="1"/>
    <col min="33" max="33" width="21.625" style="316" customWidth="1"/>
    <col min="34" max="34" width="21.625" style="261" customWidth="1"/>
    <col min="35" max="35" width="18.375" style="314" customWidth="1"/>
    <col min="36" max="36" width="20.875" style="314" customWidth="1"/>
    <col min="37" max="37" width="21.375" style="260" customWidth="1"/>
    <col min="38" max="40" width="22.375" style="261" customWidth="1"/>
    <col min="41" max="41" width="21.25" style="261" hidden="1" customWidth="1"/>
    <col min="42" max="42" width="20.25" style="17" hidden="1" customWidth="1"/>
    <col min="43" max="43" width="14.375" style="17" hidden="1" customWidth="1"/>
    <col min="44" max="44" width="17.75" style="219" hidden="1" customWidth="1"/>
    <col min="45" max="45" width="20.25" style="17" hidden="1" customWidth="1"/>
    <col min="46" max="47" width="14.375" style="219" hidden="1" customWidth="1"/>
    <col min="48" max="48" width="25.375" style="219" hidden="1" customWidth="1"/>
    <col min="49" max="49" width="24.5" style="219" hidden="1" customWidth="1"/>
    <col min="50" max="50" width="21.75" style="219" hidden="1" customWidth="1"/>
    <col min="51" max="51" width="27.625" style="219" hidden="1" customWidth="1"/>
    <col min="52" max="52" width="16.25" style="219" hidden="1" customWidth="1"/>
    <col min="53" max="53" width="9.5" style="219" hidden="1" customWidth="1"/>
    <col min="54" max="54" width="23.25" style="219" hidden="1" customWidth="1"/>
    <col min="55" max="55" width="16.25" style="219" hidden="1" customWidth="1"/>
    <col min="56" max="56" width="9.5" style="219" hidden="1" customWidth="1"/>
    <col min="57" max="57" width="9" style="219" hidden="1" customWidth="1"/>
    <col min="58" max="58" width="15.125" style="219" hidden="1" customWidth="1"/>
    <col min="59" max="59" width="3.5" style="219" hidden="1" customWidth="1"/>
    <col min="60" max="60" width="14.375" style="219" hidden="1" customWidth="1"/>
    <col min="61" max="61" width="13.875" style="571" hidden="1" customWidth="1"/>
    <col min="62" max="62" width="15.375" style="571" hidden="1" customWidth="1"/>
    <col min="63" max="63" width="12.875" style="219" customWidth="1"/>
    <col min="64" max="64" width="11.375" style="219" customWidth="1"/>
    <col min="65" max="67" width="6.875" style="219" customWidth="1"/>
    <col min="68" max="68" width="6.875" style="220" customWidth="1"/>
    <col min="69" max="69" width="22.125" customWidth="1"/>
  </cols>
  <sheetData>
    <row r="1" spans="1:69" ht="29.25" customHeight="1" thickBot="1">
      <c r="A1" s="209" t="s">
        <v>149</v>
      </c>
      <c r="B1" s="210"/>
      <c r="C1" s="210"/>
      <c r="D1" s="210"/>
      <c r="E1" s="210"/>
      <c r="F1" s="210"/>
      <c r="G1" s="23"/>
      <c r="H1" s="23"/>
      <c r="I1" s="211"/>
      <c r="J1" s="23"/>
      <c r="K1" s="96"/>
      <c r="L1" s="23"/>
      <c r="M1" s="23"/>
      <c r="N1" s="23"/>
      <c r="O1" s="212"/>
      <c r="P1" s="212"/>
      <c r="Q1" s="213"/>
      <c r="R1" s="214"/>
      <c r="S1" s="57"/>
      <c r="T1" s="215"/>
      <c r="U1" s="215"/>
      <c r="V1" s="215"/>
      <c r="W1" s="215"/>
      <c r="X1" s="215"/>
      <c r="Y1" s="215"/>
      <c r="Z1" s="215"/>
      <c r="AA1" s="215"/>
      <c r="AB1" s="215"/>
      <c r="AC1" s="215"/>
      <c r="AD1" s="215"/>
      <c r="AE1" s="215"/>
      <c r="AF1" s="216"/>
      <c r="AG1" s="315"/>
      <c r="AH1" s="311"/>
      <c r="AI1" s="313"/>
      <c r="AJ1" s="533" t="s">
        <v>3</v>
      </c>
      <c r="AK1" s="533" t="str">
        <f>IF(基本情報入力シート!C11="", "",基本情報入力シート!C11)</f>
        <v>東京都</v>
      </c>
      <c r="AL1" s="217"/>
      <c r="AM1" s="217"/>
      <c r="AN1" s="217"/>
      <c r="AO1" s="217"/>
      <c r="AP1" s="218"/>
      <c r="AQ1" s="217"/>
      <c r="AS1" s="218"/>
      <c r="BH1" s="220"/>
      <c r="BI1" s="570"/>
      <c r="BJ1" s="570"/>
      <c r="BK1"/>
      <c r="BL1"/>
      <c r="BM1"/>
      <c r="BN1"/>
      <c r="BO1"/>
      <c r="BP1"/>
    </row>
    <row r="2" spans="1:69" ht="21" customHeight="1" thickBot="1">
      <c r="A2" s="221"/>
      <c r="B2" s="222"/>
      <c r="C2" s="222"/>
      <c r="D2" s="222"/>
      <c r="E2" s="222"/>
      <c r="F2" s="222"/>
      <c r="G2" s="223"/>
      <c r="H2" s="223"/>
      <c r="I2" s="224"/>
      <c r="J2" s="223"/>
      <c r="K2" s="225"/>
      <c r="L2" s="223"/>
      <c r="M2" s="223"/>
      <c r="N2" s="223"/>
      <c r="O2" s="212"/>
      <c r="P2" s="212"/>
      <c r="Q2" s="213"/>
      <c r="R2" s="214"/>
      <c r="S2" s="57"/>
      <c r="T2" s="57"/>
      <c r="U2" s="57"/>
      <c r="V2" s="57"/>
      <c r="W2" s="57"/>
      <c r="X2" s="57"/>
      <c r="Y2" s="57"/>
      <c r="Z2" s="57"/>
      <c r="AA2" s="57"/>
      <c r="AB2" s="57"/>
      <c r="AC2" s="57"/>
      <c r="AD2" s="57"/>
      <c r="AE2" s="57"/>
      <c r="AF2" s="216"/>
      <c r="AG2" s="238"/>
      <c r="AH2" s="52"/>
      <c r="AI2" s="313"/>
      <c r="AJ2" s="313"/>
      <c r="AK2" s="226"/>
      <c r="AL2" s="52"/>
      <c r="AM2" s="52"/>
      <c r="AN2" s="52"/>
      <c r="AO2" s="52"/>
      <c r="AP2" s="52"/>
      <c r="AS2" s="52"/>
      <c r="BH2" s="220"/>
      <c r="BI2" s="570"/>
      <c r="BJ2" s="570"/>
      <c r="BK2"/>
      <c r="BL2"/>
      <c r="BM2"/>
      <c r="BN2"/>
      <c r="BO2"/>
      <c r="BP2"/>
    </row>
    <row r="3" spans="1:69" ht="27" customHeight="1" thickBot="1">
      <c r="A3" s="1012" t="s">
        <v>46</v>
      </c>
      <c r="B3" s="1012"/>
      <c r="C3" s="1013"/>
      <c r="D3" s="1014" t="str">
        <f>IF(基本情報入力シート!L16="","",基本情報入力シート!L16)</f>
        <v>○○サービス事業所</v>
      </c>
      <c r="E3" s="1015"/>
      <c r="F3" s="1015"/>
      <c r="G3" s="1015"/>
      <c r="H3" s="1015"/>
      <c r="I3" s="1015"/>
      <c r="J3" s="1016"/>
      <c r="K3" s="96"/>
      <c r="L3" s="227"/>
      <c r="M3" s="227"/>
      <c r="N3" s="227"/>
      <c r="O3" s="538"/>
      <c r="P3" s="538"/>
      <c r="Q3" s="213"/>
      <c r="R3" s="214"/>
      <c r="S3" s="57"/>
      <c r="T3" s="215"/>
      <c r="U3" s="215"/>
      <c r="V3" s="215"/>
      <c r="W3" s="215"/>
      <c r="X3" s="215"/>
      <c r="Y3" s="215"/>
      <c r="Z3" s="215"/>
      <c r="AA3" s="215"/>
      <c r="AB3" s="215"/>
      <c r="AC3" s="215"/>
      <c r="AD3" s="215"/>
      <c r="AE3" s="215"/>
      <c r="AF3" s="216"/>
      <c r="AG3" s="238"/>
      <c r="AH3" s="52"/>
      <c r="AI3" s="313"/>
      <c r="AJ3" s="313"/>
      <c r="AK3" s="226"/>
      <c r="AL3" s="52"/>
      <c r="AM3" s="52"/>
      <c r="AN3" s="52"/>
      <c r="AO3" s="52"/>
      <c r="AP3" s="52"/>
      <c r="AR3" s="228"/>
      <c r="AS3" s="52"/>
      <c r="AT3" s="228"/>
      <c r="AU3" s="228"/>
      <c r="BL3" s="220"/>
      <c r="BM3"/>
      <c r="BN3"/>
      <c r="BO3"/>
      <c r="BP3"/>
    </row>
    <row r="4" spans="1:69" ht="21" customHeight="1" thickBot="1">
      <c r="A4" s="554"/>
      <c r="B4" s="229"/>
      <c r="C4" s="229"/>
      <c r="D4" s="230"/>
      <c r="E4" s="230"/>
      <c r="F4" s="230"/>
      <c r="G4" s="55"/>
      <c r="H4" s="55"/>
      <c r="I4" s="55"/>
      <c r="J4" s="55"/>
      <c r="K4" s="55"/>
      <c r="L4" s="227"/>
      <c r="M4" s="227"/>
      <c r="N4" s="227"/>
      <c r="O4" s="538"/>
      <c r="P4" s="538"/>
      <c r="Q4" s="213"/>
      <c r="R4" s="214"/>
      <c r="S4" s="57"/>
      <c r="T4" s="215"/>
      <c r="U4" s="215"/>
      <c r="V4" s="215"/>
      <c r="W4" s="215"/>
      <c r="X4" s="215"/>
      <c r="Y4" s="215"/>
      <c r="Z4" s="215"/>
      <c r="AA4" s="215"/>
      <c r="AB4" s="215"/>
      <c r="AC4" s="215"/>
      <c r="AD4" s="215"/>
      <c r="AE4" s="215"/>
      <c r="AF4" s="216"/>
      <c r="AG4" s="1017" t="s">
        <v>2193</v>
      </c>
      <c r="AH4" s="1017"/>
      <c r="AI4" s="1017"/>
      <c r="AJ4" s="1017"/>
      <c r="AK4" s="1017"/>
      <c r="AL4" s="52"/>
      <c r="AM4" s="52"/>
      <c r="AN4" s="52"/>
      <c r="AO4" s="52"/>
      <c r="AP4" s="52"/>
      <c r="AS4" s="52"/>
      <c r="BL4" s="220"/>
      <c r="BM4"/>
      <c r="BN4"/>
      <c r="BO4"/>
      <c r="BP4"/>
    </row>
    <row r="5" spans="1:69" ht="35.25" customHeight="1" thickBot="1">
      <c r="A5" s="1002" t="s">
        <v>150</v>
      </c>
      <c r="B5" s="1003"/>
      <c r="C5" s="1003"/>
      <c r="D5" s="1003"/>
      <c r="E5" s="1003"/>
      <c r="F5" s="1003"/>
      <c r="G5" s="1003"/>
      <c r="H5" s="1003"/>
      <c r="I5" s="1003"/>
      <c r="J5" s="1003"/>
      <c r="K5" s="1004"/>
      <c r="L5" s="1005">
        <f>IFERROR(SUM(AC:AC),"")</f>
        <v>4690778</v>
      </c>
      <c r="M5" s="1006"/>
      <c r="N5" s="1007"/>
      <c r="O5" s="232" t="s">
        <v>54</v>
      </c>
      <c r="P5" s="538"/>
      <c r="Q5" s="233"/>
      <c r="R5" s="213"/>
      <c r="S5" s="214"/>
      <c r="T5" s="57"/>
      <c r="U5" s="215"/>
      <c r="V5" s="215"/>
      <c r="W5" s="215"/>
      <c r="X5" s="215"/>
      <c r="Y5" s="215"/>
      <c r="Z5" s="215"/>
      <c r="AA5" s="215"/>
      <c r="AB5" s="215"/>
      <c r="AC5" s="215"/>
      <c r="AD5" s="215"/>
      <c r="AE5" s="215"/>
      <c r="AF5" s="216"/>
      <c r="AG5" s="1018" t="s">
        <v>2230</v>
      </c>
      <c r="AH5" s="1019"/>
      <c r="AI5" s="1019"/>
      <c r="AJ5" s="1020"/>
      <c r="AK5" s="322">
        <f>COUNTIF(AU:AU,"対象")</f>
        <v>2</v>
      </c>
      <c r="AL5" s="53"/>
      <c r="AM5" s="53"/>
      <c r="AN5" s="53"/>
      <c r="AO5" s="53"/>
      <c r="AP5" s="231"/>
      <c r="AQ5" s="234"/>
      <c r="AS5" s="231"/>
      <c r="BL5" s="220"/>
      <c r="BM5"/>
      <c r="BN5"/>
      <c r="BO5"/>
      <c r="BP5"/>
    </row>
    <row r="6" spans="1:69" ht="35.25" customHeight="1" thickBot="1">
      <c r="A6" s="235"/>
      <c r="B6" s="1002" t="s">
        <v>151</v>
      </c>
      <c r="C6" s="1003"/>
      <c r="D6" s="1003"/>
      <c r="E6" s="1003"/>
      <c r="F6" s="1003"/>
      <c r="G6" s="1003"/>
      <c r="H6" s="1003"/>
      <c r="I6" s="1003"/>
      <c r="J6" s="1003"/>
      <c r="K6" s="1004"/>
      <c r="L6" s="1005">
        <f>IFERROR(SUM(AE:AE),"")</f>
        <v>2047038</v>
      </c>
      <c r="M6" s="1006"/>
      <c r="N6" s="1007"/>
      <c r="O6" s="232" t="s">
        <v>54</v>
      </c>
      <c r="P6" s="212"/>
      <c r="Q6" s="233"/>
      <c r="R6" s="213"/>
      <c r="S6" s="214"/>
      <c r="T6" s="57"/>
      <c r="U6" s="215"/>
      <c r="V6" s="215"/>
      <c r="W6" s="215"/>
      <c r="X6" s="215"/>
      <c r="Y6" s="215"/>
      <c r="Z6" s="215"/>
      <c r="AA6" s="215"/>
      <c r="AB6" s="215"/>
      <c r="AC6" s="215"/>
      <c r="AD6" s="215"/>
      <c r="AE6" s="215"/>
      <c r="AF6" s="216"/>
      <c r="AG6" s="1008" t="s">
        <v>2469</v>
      </c>
      <c r="AH6" s="1009"/>
      <c r="AI6" s="1009"/>
      <c r="AJ6" s="1010"/>
      <c r="AK6" s="566">
        <f>COUNTIF(AI13:AI113,"○")</f>
        <v>2</v>
      </c>
      <c r="AL6" s="231"/>
      <c r="AM6" s="231"/>
      <c r="AN6" s="231"/>
      <c r="AO6" s="231"/>
      <c r="AP6" s="231"/>
      <c r="AQ6" s="234"/>
      <c r="AS6" s="231"/>
      <c r="AV6" s="236"/>
      <c r="AW6" s="236"/>
      <c r="AX6" s="236"/>
      <c r="AY6" s="1011"/>
      <c r="AZ6" s="1011"/>
      <c r="BA6" s="1011"/>
      <c r="BB6" s="1011"/>
      <c r="BC6" s="1011"/>
      <c r="BD6" s="1011"/>
      <c r="BE6" s="1011"/>
      <c r="BF6" s="1011"/>
      <c r="BG6" s="1011"/>
      <c r="BH6" s="1011"/>
      <c r="BI6" s="1011"/>
      <c r="BJ6" s="1011"/>
      <c r="BK6" s="552"/>
      <c r="BL6" s="1011"/>
      <c r="BM6" s="1011"/>
      <c r="BN6" s="1011"/>
      <c r="BO6" s="1011"/>
      <c r="BP6" s="1011"/>
    </row>
    <row r="7" spans="1:69" ht="35.25" customHeight="1">
      <c r="A7" s="1021" t="s">
        <v>2457</v>
      </c>
      <c r="B7" s="1022"/>
      <c r="C7" s="1022"/>
      <c r="D7" s="1022"/>
      <c r="E7" s="1022"/>
      <c r="F7" s="1022"/>
      <c r="G7" s="1022"/>
      <c r="H7" s="1022"/>
      <c r="I7" s="1022"/>
      <c r="J7" s="1022"/>
      <c r="K7" s="1023"/>
      <c r="L7" s="1024">
        <f>SUM(AD13:AD113)</f>
        <v>0</v>
      </c>
      <c r="M7" s="1024"/>
      <c r="N7" s="1024"/>
      <c r="O7" s="232" t="s">
        <v>2458</v>
      </c>
      <c r="P7" s="212"/>
      <c r="Q7" s="233"/>
      <c r="R7" s="213"/>
      <c r="S7" s="214"/>
      <c r="T7" s="57"/>
      <c r="U7" s="215"/>
      <c r="V7" s="215"/>
      <c r="W7" s="215"/>
      <c r="X7" s="215"/>
      <c r="Y7" s="215"/>
      <c r="Z7" s="215"/>
      <c r="AA7" s="215"/>
      <c r="AB7" s="215"/>
      <c r="AC7" s="215"/>
      <c r="AD7" s="215"/>
      <c r="AE7" s="215"/>
      <c r="AF7" s="216"/>
      <c r="AG7" s="583"/>
      <c r="AH7" s="583"/>
      <c r="AI7" s="583"/>
      <c r="AJ7" s="583"/>
      <c r="AK7" s="567"/>
      <c r="AL7" s="231"/>
      <c r="AM7" s="231"/>
      <c r="AN7" s="231"/>
      <c r="AO7" s="231"/>
      <c r="AP7" s="231"/>
      <c r="AQ7" s="234"/>
      <c r="AS7" s="231"/>
      <c r="AV7" s="236"/>
      <c r="AW7" s="236"/>
      <c r="AX7" s="236"/>
      <c r="AY7" s="552"/>
      <c r="AZ7" s="552"/>
      <c r="BA7" s="552"/>
      <c r="BB7" s="552"/>
      <c r="BC7" s="552"/>
      <c r="BD7" s="552"/>
      <c r="BE7" s="552"/>
      <c r="BF7" s="552"/>
      <c r="BG7" s="552"/>
      <c r="BH7" s="552"/>
      <c r="BI7" s="572"/>
      <c r="BJ7" s="572"/>
      <c r="BK7" s="552"/>
      <c r="BL7" s="552"/>
      <c r="BM7" s="552"/>
      <c r="BN7" s="552"/>
      <c r="BO7" s="552"/>
      <c r="BP7" s="552"/>
    </row>
    <row r="8" spans="1:69" ht="35.25" customHeight="1">
      <c r="A8" s="999" t="s">
        <v>2478</v>
      </c>
      <c r="B8" s="999"/>
      <c r="C8" s="999"/>
      <c r="D8" s="999"/>
      <c r="E8" s="999"/>
      <c r="F8" s="999"/>
      <c r="G8" s="999"/>
      <c r="H8" s="999"/>
      <c r="I8" s="999"/>
      <c r="J8" s="999"/>
      <c r="K8" s="999"/>
      <c r="L8" s="1000"/>
      <c r="M8" s="549"/>
      <c r="N8" s="549"/>
      <c r="O8" s="321"/>
      <c r="P8" s="212"/>
      <c r="Q8" s="233"/>
      <c r="R8" s="213"/>
      <c r="S8" s="214"/>
      <c r="T8" s="57"/>
      <c r="U8" s="215"/>
      <c r="V8" s="215"/>
      <c r="W8" s="215"/>
      <c r="X8" s="215"/>
      <c r="Y8" s="215"/>
      <c r="Z8" s="215"/>
      <c r="AA8" s="215"/>
      <c r="AB8" s="215"/>
      <c r="AC8" s="215"/>
      <c r="AD8" s="215"/>
      <c r="AE8" s="215"/>
      <c r="AF8" s="216"/>
      <c r="AG8" s="579"/>
      <c r="AH8" s="568"/>
      <c r="AI8" s="569"/>
      <c r="AJ8" s="569"/>
      <c r="AK8" s="528"/>
      <c r="AL8" s="231"/>
      <c r="AM8" s="231"/>
      <c r="AN8" s="231"/>
      <c r="AO8" s="231"/>
      <c r="AP8" s="231"/>
      <c r="AQ8" s="234"/>
      <c r="AS8" s="231"/>
      <c r="AV8" s="236"/>
      <c r="AW8" s="236"/>
      <c r="AX8" s="236"/>
      <c r="AY8" s="552"/>
      <c r="AZ8" s="552"/>
      <c r="BA8" s="552"/>
      <c r="BB8" s="552"/>
      <c r="BC8" s="552"/>
      <c r="BD8" s="552"/>
      <c r="BE8" s="552"/>
      <c r="BF8" s="552"/>
      <c r="BG8" s="552"/>
      <c r="BH8" s="552"/>
      <c r="BI8" s="572"/>
      <c r="BJ8" s="572"/>
      <c r="BK8" s="552"/>
      <c r="BL8" s="552"/>
      <c r="BM8" s="552"/>
      <c r="BN8" s="552"/>
      <c r="BO8" s="552"/>
      <c r="BP8" s="552"/>
    </row>
    <row r="9" spans="1:69" ht="35.25" customHeight="1" thickBot="1">
      <c r="A9" s="18"/>
      <c r="B9" s="239"/>
      <c r="C9" s="239"/>
      <c r="D9" s="239"/>
      <c r="E9" s="239"/>
      <c r="F9" s="239"/>
      <c r="G9" s="18"/>
      <c r="H9" s="18"/>
      <c r="I9" s="240"/>
      <c r="J9" s="18"/>
      <c r="K9" s="57"/>
      <c r="L9" s="18"/>
      <c r="M9" s="18"/>
      <c r="N9" s="18"/>
      <c r="O9" s="212"/>
      <c r="P9" s="212"/>
      <c r="Q9" s="237"/>
      <c r="R9" s="214"/>
      <c r="S9" s="57"/>
      <c r="T9" s="57"/>
      <c r="U9" s="57"/>
      <c r="V9" s="215"/>
      <c r="W9" s="57"/>
      <c r="X9" s="57"/>
      <c r="Y9" s="57"/>
      <c r="Z9" s="57"/>
      <c r="AA9" s="57"/>
      <c r="AB9" s="57"/>
      <c r="AC9" s="57"/>
      <c r="AD9" s="57"/>
      <c r="AE9" s="57"/>
      <c r="AF9" s="238"/>
      <c r="AG9" s="238"/>
      <c r="AH9" s="52"/>
      <c r="AI9" s="313"/>
      <c r="AJ9" s="313"/>
      <c r="AK9" s="226"/>
      <c r="AL9" s="52"/>
      <c r="AM9" s="52"/>
      <c r="AN9" s="52"/>
      <c r="AO9" s="52"/>
      <c r="AP9" s="219"/>
      <c r="AQ9" s="219"/>
      <c r="AR9" s="1001"/>
      <c r="AS9" s="1001"/>
      <c r="AT9" s="1001"/>
      <c r="AU9" s="1001"/>
      <c r="AV9" s="1001"/>
      <c r="AW9" s="1001"/>
      <c r="AX9" s="1001"/>
      <c r="AY9" s="1001"/>
      <c r="AZ9" s="550"/>
      <c r="BA9" s="1001"/>
      <c r="BB9" s="1001"/>
      <c r="BC9" s="1001"/>
      <c r="BD9" s="1001"/>
      <c r="BE9" s="1001"/>
      <c r="BF9" s="1001"/>
      <c r="BG9" s="550"/>
      <c r="BH9" s="1001"/>
      <c r="BI9" s="1001"/>
      <c r="BJ9" s="1001"/>
      <c r="BK9" s="1001"/>
      <c r="BL9" s="1001"/>
      <c r="BM9"/>
      <c r="BN9"/>
      <c r="BO9"/>
      <c r="BP9"/>
    </row>
    <row r="10" spans="1:69" s="18" customFormat="1" ht="31.9" customHeight="1" thickBot="1">
      <c r="B10" s="239"/>
      <c r="C10" s="239"/>
      <c r="D10" s="239"/>
      <c r="E10" s="239"/>
      <c r="F10" s="239"/>
      <c r="I10" s="240"/>
      <c r="K10" s="57"/>
      <c r="O10" s="370"/>
      <c r="P10" s="214"/>
      <c r="Q10" s="57"/>
      <c r="R10" s="215"/>
      <c r="S10" s="215"/>
      <c r="T10" s="215"/>
      <c r="U10" s="215"/>
      <c r="V10" s="215"/>
      <c r="W10" s="215"/>
      <c r="X10" s="215"/>
      <c r="Y10" s="215"/>
      <c r="Z10" s="215"/>
      <c r="AA10" s="215"/>
      <c r="AB10" s="215"/>
      <c r="AC10" s="241"/>
      <c r="AD10" s="241"/>
      <c r="AE10" s="979" t="str">
        <f>IF(D3="", "", IFERROR(IF(COUNTIF(AQ13:AQ113,"未入力")=0,"○","×"),""))</f>
        <v>○</v>
      </c>
      <c r="AF10" s="980"/>
      <c r="AG10" s="312" t="str">
        <f>IF(D3="", "", IFERROR(IF(COUNTIF(AR:AR,"未入力")=0,"○","×"),""))</f>
        <v>○</v>
      </c>
      <c r="AH10" s="312" t="str">
        <f>IF(D3="", "", IFERROR(IF(COUNTIF(AT:AT,"未入力")=0,"○","×"),""))</f>
        <v>○</v>
      </c>
      <c r="AI10" s="551" t="str">
        <f>IF(D3="","",IF(AK6&gt;=AK5,"○","×"))</f>
        <v>○</v>
      </c>
      <c r="AJ10" s="242" t="str">
        <f>IF(D3="","", IF(COUNTIF(BA:BA,"未入力")=0,"○","×"))</f>
        <v>○</v>
      </c>
      <c r="AK10" s="242" t="str">
        <f>IF(D3="","",IF(BG13=0,"",IF(COUNTIF(BD:BD,"未入力")=0,"○","×")))</f>
        <v>○</v>
      </c>
      <c r="AL10" s="301"/>
      <c r="AM10" s="301"/>
      <c r="AN10" s="52"/>
      <c r="AO10" s="52"/>
      <c r="BB10" s="243"/>
      <c r="BC10" s="243"/>
      <c r="BD10" s="243"/>
      <c r="BE10" s="243"/>
      <c r="BF10" s="243"/>
      <c r="BG10" s="243"/>
      <c r="BH10" s="243"/>
      <c r="BI10" s="613"/>
      <c r="BJ10" s="614">
        <f>BI11+BJ11</f>
        <v>2986012</v>
      </c>
    </row>
    <row r="11" spans="1:69" ht="53.25" customHeight="1" thickBot="1">
      <c r="A11" s="981"/>
      <c r="B11" s="983" t="s">
        <v>2225</v>
      </c>
      <c r="C11" s="984"/>
      <c r="D11" s="984"/>
      <c r="E11" s="984"/>
      <c r="F11" s="985"/>
      <c r="G11" s="989" t="s">
        <v>32</v>
      </c>
      <c r="H11" s="991" t="s">
        <v>33</v>
      </c>
      <c r="I11" s="991"/>
      <c r="J11" s="992" t="s">
        <v>152</v>
      </c>
      <c r="K11" s="994" t="s">
        <v>35</v>
      </c>
      <c r="L11" s="996" t="s">
        <v>2231</v>
      </c>
      <c r="M11" s="998" t="s">
        <v>2453</v>
      </c>
      <c r="N11" s="998"/>
      <c r="O11" s="964" t="s">
        <v>153</v>
      </c>
      <c r="P11" s="966" t="s">
        <v>2226</v>
      </c>
      <c r="Q11" s="968" t="s">
        <v>2227</v>
      </c>
      <c r="R11" s="969"/>
      <c r="S11" s="969"/>
      <c r="T11" s="969"/>
      <c r="U11" s="969"/>
      <c r="V11" s="969"/>
      <c r="W11" s="969"/>
      <c r="X11" s="969"/>
      <c r="Y11" s="969"/>
      <c r="Z11" s="969"/>
      <c r="AA11" s="969"/>
      <c r="AB11" s="970"/>
      <c r="AC11" s="974" t="s">
        <v>2228</v>
      </c>
      <c r="AD11" s="976" t="s">
        <v>2456</v>
      </c>
      <c r="AE11" s="978" t="s">
        <v>154</v>
      </c>
      <c r="AF11" s="966"/>
      <c r="AG11" s="553" t="s">
        <v>155</v>
      </c>
      <c r="AH11" s="553" t="s">
        <v>156</v>
      </c>
      <c r="AI11" s="553" t="s">
        <v>157</v>
      </c>
      <c r="AJ11" s="282" t="s">
        <v>158</v>
      </c>
      <c r="AK11" s="284" t="s">
        <v>159</v>
      </c>
      <c r="AL11" s="302"/>
      <c r="AM11" s="302"/>
      <c r="AN11" s="244"/>
      <c r="AO11" s="562" t="s">
        <v>160</v>
      </c>
      <c r="AP11" s="563"/>
      <c r="AR11" s="27"/>
      <c r="AS11" s="27"/>
      <c r="AT11" s="27"/>
      <c r="AU11" s="27"/>
      <c r="AV11" s="27"/>
      <c r="AW11" s="27"/>
      <c r="AX11" s="27"/>
      <c r="AY11" s="27"/>
      <c r="AZ11" s="27"/>
      <c r="BA11" s="27"/>
      <c r="BB11" s="27"/>
      <c r="BC11" s="27"/>
      <c r="BD11" s="27"/>
      <c r="BE11" s="27"/>
      <c r="BF11" s="27"/>
      <c r="BG11" s="27"/>
      <c r="BH11" s="27"/>
      <c r="BI11" s="602">
        <f>SUM(BI13:BI113)/2</f>
        <v>2986012</v>
      </c>
      <c r="BJ11" s="602">
        <f>SUM(BJ13:BJ113)/2</f>
        <v>0</v>
      </c>
      <c r="BN11" s="220"/>
      <c r="BO11" s="245"/>
      <c r="BP11"/>
    </row>
    <row r="12" spans="1:69" ht="182.25" customHeight="1" thickBot="1">
      <c r="A12" s="982"/>
      <c r="B12" s="986"/>
      <c r="C12" s="987"/>
      <c r="D12" s="987"/>
      <c r="E12" s="987"/>
      <c r="F12" s="988"/>
      <c r="G12" s="990"/>
      <c r="H12" s="246" t="s">
        <v>161</v>
      </c>
      <c r="I12" s="246" t="s">
        <v>162</v>
      </c>
      <c r="J12" s="993"/>
      <c r="K12" s="995"/>
      <c r="L12" s="997"/>
      <c r="M12" s="510" t="s">
        <v>2454</v>
      </c>
      <c r="N12" s="514" t="s">
        <v>2455</v>
      </c>
      <c r="O12" s="965"/>
      <c r="P12" s="967"/>
      <c r="Q12" s="971"/>
      <c r="R12" s="972"/>
      <c r="S12" s="972"/>
      <c r="T12" s="972"/>
      <c r="U12" s="972"/>
      <c r="V12" s="972"/>
      <c r="W12" s="972"/>
      <c r="X12" s="972"/>
      <c r="Y12" s="972"/>
      <c r="Z12" s="972"/>
      <c r="AA12" s="972"/>
      <c r="AB12" s="973"/>
      <c r="AC12" s="975"/>
      <c r="AD12" s="977"/>
      <c r="AE12" s="247" t="s">
        <v>163</v>
      </c>
      <c r="AF12" s="248" t="s">
        <v>2465</v>
      </c>
      <c r="AG12" s="249" t="s">
        <v>164</v>
      </c>
      <c r="AH12" s="250" t="s">
        <v>165</v>
      </c>
      <c r="AI12" s="250" t="s">
        <v>2480</v>
      </c>
      <c r="AJ12" s="283" t="s">
        <v>2229</v>
      </c>
      <c r="AK12" s="285" t="s">
        <v>2481</v>
      </c>
      <c r="AL12" s="962" t="s">
        <v>166</v>
      </c>
      <c r="AM12" s="963"/>
      <c r="AN12" s="323"/>
      <c r="AO12" s="251" t="s">
        <v>167</v>
      </c>
      <c r="AP12" s="251" t="s">
        <v>168</v>
      </c>
      <c r="AQ12" s="252" t="s">
        <v>169</v>
      </c>
      <c r="AR12" s="251" t="s">
        <v>170</v>
      </c>
      <c r="AS12" s="251" t="s">
        <v>171</v>
      </c>
      <c r="AT12" s="251" t="s">
        <v>172</v>
      </c>
      <c r="AU12" s="253" t="s">
        <v>2187</v>
      </c>
      <c r="AV12" s="253" t="s">
        <v>173</v>
      </c>
      <c r="AW12" s="251" t="s">
        <v>174</v>
      </c>
      <c r="AX12" s="253" t="s">
        <v>2199</v>
      </c>
      <c r="AY12" s="253" t="s">
        <v>175</v>
      </c>
      <c r="AZ12" s="251" t="s">
        <v>176</v>
      </c>
      <c r="BA12" s="253" t="s">
        <v>177</v>
      </c>
      <c r="BB12" s="253" t="s">
        <v>178</v>
      </c>
      <c r="BC12" s="251" t="s">
        <v>179</v>
      </c>
      <c r="BD12" s="253" t="s">
        <v>180</v>
      </c>
      <c r="BE12" s="253" t="s">
        <v>2198</v>
      </c>
      <c r="BF12" s="254" t="s">
        <v>181</v>
      </c>
      <c r="BG12" s="597"/>
      <c r="BH12" s="596" t="s">
        <v>2510</v>
      </c>
      <c r="BI12" s="615" t="s">
        <v>2511</v>
      </c>
      <c r="BJ12" s="615" t="s">
        <v>2512</v>
      </c>
      <c r="BK12"/>
      <c r="BL12"/>
      <c r="BM12"/>
      <c r="BN12"/>
      <c r="BO12"/>
      <c r="BP12"/>
    </row>
    <row r="13" spans="1:69" ht="109.9" customHeight="1" thickBot="1">
      <c r="A13" s="303">
        <v>1</v>
      </c>
      <c r="B13" s="956" t="str">
        <f>IF(基本情報入力シート!B35="","",基本情報入力シート!B35)</f>
        <v>1234567899</v>
      </c>
      <c r="C13" s="957"/>
      <c r="D13" s="957"/>
      <c r="E13" s="957"/>
      <c r="F13" s="958"/>
      <c r="G13" s="304" t="str">
        <f>IF(基本情報入力シート!L35="", "", 基本情報入力シート!L35)</f>
        <v>東京都</v>
      </c>
      <c r="H13" s="304" t="str">
        <f>IF(基本情報入力シート!Q35="", "", 基本情報入力シート!Q35)</f>
        <v>東京都</v>
      </c>
      <c r="I13" s="304" t="str">
        <f>IF(基本情報入力シート!V35="", "", 基本情報入力シート!V35)</f>
        <v>三鷹市</v>
      </c>
      <c r="J13" s="304" t="str">
        <f>IF(基本情報入力シート!W35="", "", 基本情報入力シート!W35)</f>
        <v>障害福祉事業所名称０１</v>
      </c>
      <c r="K13" s="304" t="str">
        <f>IF(基本情報入力シート!Z35="", "", 基本情報入力シート!Z35)</f>
        <v>居宅介護</v>
      </c>
      <c r="L13" s="558">
        <f>IF(基本情報入力シート!AF35=0, "",基本情報入力シート!AF35)</f>
        <v>337280</v>
      </c>
      <c r="M13" s="587" t="s">
        <v>270</v>
      </c>
      <c r="N13" s="522">
        <f>IFERROR(VLOOKUP(K13,【参考】数式用!$A$2:$F$57,MATCH(M13,【参考】数式用!$C$3:$F$3,0)+2,0),"")</f>
        <v>0.40200000000000002</v>
      </c>
      <c r="O13" s="511" t="s">
        <v>270</v>
      </c>
      <c r="P13" s="555">
        <f>IFERROR(VLOOKUP(K13,【参考】数式用!$A$2:$F$57,MATCH(O13,【参考】数式用!$C$3:$F$3,0)+2,0),"")</f>
        <v>0.40200000000000002</v>
      </c>
      <c r="Q13" s="310" t="s">
        <v>118</v>
      </c>
      <c r="R13" s="308">
        <v>8</v>
      </c>
      <c r="S13" s="309" t="s">
        <v>183</v>
      </c>
      <c r="T13" s="308">
        <v>4</v>
      </c>
      <c r="U13" s="309" t="s">
        <v>184</v>
      </c>
      <c r="V13" s="308">
        <v>8</v>
      </c>
      <c r="W13" s="309" t="s">
        <v>183</v>
      </c>
      <c r="X13" s="308">
        <v>5</v>
      </c>
      <c r="Y13" s="309" t="s">
        <v>185</v>
      </c>
      <c r="Z13" s="309" t="s">
        <v>186</v>
      </c>
      <c r="AA13" s="309">
        <f>IF(R13&gt;=1,(V13*12+X13)-(R13*12+T13)+1,"")</f>
        <v>2</v>
      </c>
      <c r="AB13" s="305" t="s">
        <v>187</v>
      </c>
      <c r="AC13" s="306">
        <f>IFERROR(ROUNDDOWN(ROUND(L13*P13,0),0)*AA13,"")</f>
        <v>271174</v>
      </c>
      <c r="AD13" s="515">
        <f>IFERROR(ROUNDDOWN(ROUND(L13*(P13-N13),0),0)*AA13,"")</f>
        <v>0</v>
      </c>
      <c r="AE13" s="307">
        <f>IFERROR(ROUNDDOWN(ROUNDDOWN(ROUND(L13*VLOOKUP(K13,【参考】数式用!$A$4:$F$57,MATCH("処遇改善加算Ⅳ",【参考】数式用!$C$3:$F$3,0)+2,0),0),0)*AA13*0.5,0), "")</f>
        <v>92077</v>
      </c>
      <c r="AF13" s="318" t="s">
        <v>2209</v>
      </c>
      <c r="AG13" s="319" t="s">
        <v>2209</v>
      </c>
      <c r="AH13" s="319" t="s">
        <v>189</v>
      </c>
      <c r="AI13" s="318" t="s">
        <v>2209</v>
      </c>
      <c r="AJ13" s="320"/>
      <c r="AK13" s="326" t="s">
        <v>2479</v>
      </c>
      <c r="AL13" s="324" t="str">
        <f t="shared" ref="AL13:AL44" si="0">IF(AND(O13&lt;&gt;"", OR(V13&lt;&gt;8,X13&lt;&gt;5)),"！算定期間の終わりが令和８年５月になっていません。令和８年６月以降については別シートに記載してください。",
 IF(AND(AO13="加算対象外",O13&lt;&gt;""),"このサービスは、令和８年４月・５月は処遇改善加算の対象ではありません。記入しないでください。",""))</f>
        <v/>
      </c>
      <c r="AM13" s="325" t="str">
        <f>IF(OR(O13="",AO13="加算対象外"),"",IF(OR(AND(COUNTIF(AQ13,"未入力")&gt;0,AF13=""),AND(COUNTIF(AR13,"未入力")&gt;0,AG13=""),AND(COUNTIF(AO13:BF13,"AH列に色付け")&gt;0,AH13=""),AND(COUNT(AU13,"非対象")&gt;0,AI13=""),,AND(COUNTIF(AO13:BF13,"AJ列に色付け")&gt;0,AJ13=""),AND(COUNTIF(AO13:BF13,"AK列に色付け")&gt;0,AK13="")),"！記入が必要な欄（オレンジ色のセル）に空欄があります。空欄を埋めてください。",""))</f>
        <v/>
      </c>
      <c r="AN13" s="255"/>
      <c r="AO13" s="557" t="str">
        <f>IFERROR(VLOOKUP(K13,【参考】数式用!$A$2:$N$57,14,FALSE),"")</f>
        <v>加算対象</v>
      </c>
      <c r="AP13" s="557" t="str">
        <f t="shared" ref="AP13:AP44" si="1">IF(AND(K13&lt;&gt;"",AO13="加算対象"),"N列に色付け","")</f>
        <v>N列に色付け</v>
      </c>
      <c r="AQ13" s="561" t="str">
        <f t="shared" ref="AQ13:AQ44" si="2">IF(AND(AE13&lt;&gt;0,AE13&lt;&gt;"",AO13="加算対象"),IF(AF13="○","入力済","未入力"),"")</f>
        <v>入力済</v>
      </c>
      <c r="AR13" s="540" t="str">
        <f t="shared" ref="AR13:AR44" si="3">IF(AND(O13&lt;&gt;"", AG13="",AO13="加算対象"), "未入力", "入力済")</f>
        <v>入力済</v>
      </c>
      <c r="AS13" s="557" t="str">
        <f>IF(AND(O13&lt;&gt;"", O13&lt;&gt;"処遇改善加算Ⅳ",AO13="加算対象"),"AH列に色付け","")</f>
        <v>AH列に色付け</v>
      </c>
      <c r="AT13" s="540" t="str">
        <f t="shared" ref="AT13:AT44" si="4">IF(AND(O13&lt;&gt;"", O13&lt;&gt;"処遇改善加算Ⅳ", AH13=""), "未入力", "入力済")</f>
        <v>入力済</v>
      </c>
      <c r="AU13" s="540" t="str">
        <f>IF(OR(O13="処遇改善加算Ⅰ",O13="処遇改善加算Ⅱ"),"対象","非対象")</f>
        <v>対象</v>
      </c>
      <c r="AV13" s="540">
        <f t="shared" ref="AV13:AV44" si="5">IF(AND(AO13="加算対象",O13&lt;&gt;"処遇改善加算Ⅲ",O13&lt;&gt;"処遇改善加算Ⅳ", O13&lt;&gt;"", AU13&lt;&gt;"対象外"), 1,"")</f>
        <v>1</v>
      </c>
      <c r="AW13" s="557" t="str">
        <f t="shared" ref="AW13:AW44" si="6">IF(AND(AV13=1, OR(AI13=0,AI13=""),AO13="加算対象"),"AH列に色付け","")</f>
        <v/>
      </c>
      <c r="AX13" s="557" t="str">
        <f>IF(AND(O13&lt;&gt;"", O13&lt;&gt;"処遇改善加算Ⅲ", O13&lt;&gt;"処遇改善加算Ⅳ",O13&lt;&gt;"処遇改善加算"), "対象", "")</f>
        <v>対象</v>
      </c>
      <c r="AY13" s="540" t="str">
        <f>IFERROR(VLOOKUP(K13,【参考】数式用!$AR$5:$AS$39,2, FALSE), "")</f>
        <v>居宅介護Ⅴ</v>
      </c>
      <c r="AZ13" s="557" t="str">
        <f>IF(AND(AO13="加算対象",O13="処遇改善加算Ⅰ"),"AJ列に色付け","")</f>
        <v/>
      </c>
      <c r="BA13" s="560" t="str">
        <f t="shared" ref="BA13:BA44" si="7">IF(AND(O13="処遇改善加算Ⅰ", AJ13=""), "未入力","入力済")</f>
        <v>入力済</v>
      </c>
      <c r="BB13" s="540" t="str">
        <f>IFERROR(VLOOKUP(K13,【参考】数式用!$AX$3:$AY$59, 2, FALSE), "")</f>
        <v>居宅介護R8</v>
      </c>
      <c r="BC13" s="578" t="str">
        <f>IF(COUNTIF(AG13:AI13,"*令和８年度特例要件を*")&gt;0,"AK列に色付け","")</f>
        <v>AK列に色付け</v>
      </c>
      <c r="BD13" s="560" t="str">
        <f t="shared" ref="BD13:BD44" si="8">IF(AND(COUNTIF(AG13:AI13,"*令和８年度特例要件を*")&gt;0,AK13=""), "未入力","入力済")</f>
        <v>入力済</v>
      </c>
      <c r="BE13" s="577" t="str">
        <f>IF(BC13="AK列に色付け","入力必要","")</f>
        <v>入力必要</v>
      </c>
      <c r="BF13" s="560" t="str">
        <f t="shared" ref="BF13:BF44" si="9">G13</f>
        <v>東京都</v>
      </c>
      <c r="BG13" s="597">
        <f>IF(COUNTIF(BE:BE,"*入力必要*"),1,0)</f>
        <v>1</v>
      </c>
      <c r="BH13" s="593" t="str">
        <f>IF(BC13="AK列に色付け",IF(OR(K13="重度障害者等包括支援",K13="施設入所支援",K13="短期入所",K13="就労定着支援",K13="居宅訪問型児童発達支援",K13="保育所等訪問支援",K13="障害者支援施設：生活介護",K13="障害者支援施設：自立訓練（機能訓練）",K13="障害者支援施設：自立訓練（生活訓練）",K13="障害者支援施設：就労移行支援",K13="障害者支援施設：就労継続支援Ａ型",K13="障害者支援施設：就労継続支援Ｂ型"),"Ⅱロなし","Ⅱロ有り"),"")</f>
        <v>Ⅱロ有り</v>
      </c>
      <c r="BI13" s="616">
        <f>IF(BH13="Ⅱロ有り",ROUNDDOWN(L13*VLOOKUP(K13,【参考】数式用!$A$4:$J$42,10,FALSE)*AA13,0),"")</f>
        <v>297480</v>
      </c>
      <c r="BJ13" s="616" t="str">
        <f>IF(BH13="Ⅱロなし",ROUNDDOWN(L13*VLOOKUP(K13,【参考】数式用!$A$4:$J$42,8,FALSE)*AA13,0),"")</f>
        <v/>
      </c>
      <c r="BK13"/>
      <c r="BL13"/>
      <c r="BM13"/>
      <c r="BN13" s="256"/>
      <c r="BO13"/>
      <c r="BP13"/>
    </row>
    <row r="14" spans="1:69" s="257" customFormat="1" ht="109.9" customHeight="1" thickBot="1">
      <c r="A14" s="303">
        <v>2</v>
      </c>
      <c r="B14" s="956" t="str">
        <f>IF(基本情報入力シート!B36="","",基本情報入力シート!B36)</f>
        <v>1234567900</v>
      </c>
      <c r="C14" s="957"/>
      <c r="D14" s="957"/>
      <c r="E14" s="957"/>
      <c r="F14" s="958"/>
      <c r="G14" s="304" t="str">
        <f>IF(基本情報入力シート!L36="", "", 基本情報入力シート!L36)</f>
        <v>東京都</v>
      </c>
      <c r="H14" s="304" t="str">
        <f>IF(基本情報入力シート!Q36="", "", 基本情報入力シート!Q36)</f>
        <v>東京都</v>
      </c>
      <c r="I14" s="304" t="str">
        <f>IF(基本情報入力シート!V36="", "", 基本情報入力シート!V36)</f>
        <v>府中市</v>
      </c>
      <c r="J14" s="304" t="str">
        <f>IF(基本情報入力シート!W36="", "", 基本情報入力シート!W36)</f>
        <v>障害福祉事業所名称０２</v>
      </c>
      <c r="K14" s="304" t="str">
        <f>IF(基本情報入力シート!Z36="", "", 基本情報入力シート!Z36)</f>
        <v>生活介護</v>
      </c>
      <c r="L14" s="558">
        <f>IF(基本情報入力シート!AF36=0, "",基本情報入力シート!AF36)</f>
        <v>4365540</v>
      </c>
      <c r="M14" s="588" t="s">
        <v>271</v>
      </c>
      <c r="N14" s="522">
        <f>IFERROR(VLOOKUP(K14,【参考】数式用!$A$2:$F$57,MATCH(M14,【参考】数式用!$C$3:$F$3,0)+2,0),"")</f>
        <v>5.4999999999999993E-2</v>
      </c>
      <c r="O14" s="511" t="s">
        <v>271</v>
      </c>
      <c r="P14" s="555">
        <f>IFERROR(VLOOKUP(K14,【参考】数式用!$A$2:$F$57,MATCH(O14,【参考】数式用!$C$3:$F$3,0)+2,0),"")</f>
        <v>5.4999999999999993E-2</v>
      </c>
      <c r="Q14" s="310" t="s">
        <v>118</v>
      </c>
      <c r="R14" s="308">
        <v>8</v>
      </c>
      <c r="S14" s="309" t="s">
        <v>183</v>
      </c>
      <c r="T14" s="308">
        <v>4</v>
      </c>
      <c r="U14" s="309" t="s">
        <v>184</v>
      </c>
      <c r="V14" s="308">
        <v>8</v>
      </c>
      <c r="W14" s="309" t="s">
        <v>183</v>
      </c>
      <c r="X14" s="308">
        <v>5</v>
      </c>
      <c r="Y14" s="309" t="s">
        <v>185</v>
      </c>
      <c r="Z14" s="309" t="s">
        <v>186</v>
      </c>
      <c r="AA14" s="309">
        <f>IF(R14&gt;=1,(V14*12+X14)-(R14*12+T14)+1,"")</f>
        <v>2</v>
      </c>
      <c r="AB14" s="305" t="s">
        <v>187</v>
      </c>
      <c r="AC14" s="306">
        <f t="shared" ref="AC14:AC77" si="10">IFERROR(ROUNDDOWN(ROUND(L14*P14,0),0)*AA14,"")</f>
        <v>480210</v>
      </c>
      <c r="AD14" s="515">
        <f t="shared" ref="AD14:AD77" si="11">IFERROR(ROUNDDOWN(ROUND(L14*(P14-N14),0),0)*AA14,"")</f>
        <v>0</v>
      </c>
      <c r="AE14" s="307">
        <f>IFERROR(ROUNDDOWN(ROUNDDOWN(ROUND(L14*VLOOKUP(K14,【参考】数式用!$A$4:$F$57,MATCH("処遇改善加算Ⅳ",【参考】数式用!$C$3:$F$3,0)+2,0),0),0)*AA14*0.5,0), "")</f>
        <v>240105</v>
      </c>
      <c r="AF14" s="318" t="s">
        <v>2209</v>
      </c>
      <c r="AG14" s="319" t="s">
        <v>2209</v>
      </c>
      <c r="AH14" s="319"/>
      <c r="AI14" s="318"/>
      <c r="AJ14" s="320"/>
      <c r="AK14" s="326"/>
      <c r="AL14" s="324" t="str">
        <f t="shared" si="0"/>
        <v/>
      </c>
      <c r="AM14" s="325" t="str">
        <f>IF(OR(O14="",AO14="加算対象外"),"",IF(OR(AND(COUNTIF(AQ14,"未入力")&gt;0,AF14=""),AND(COUNTIF(AR14,"未入力")&gt;0,AG14=""),AND(COUNTIF(AO14:BF14,"AH列に色付け")&gt;0,AH14=""),AND(COUNT(AU14,"対象")&gt;0,AI14=""),,AND(COUNTIF(AO14:BF14,"AJ列に色付け")&gt;0,AJ14=""),AND(COUNTIF(AO14:BF14,"AK列に色付け")&gt;0,AK14="")),"！記入が必要な欄（オレンジ色のセル）に空欄があります。空欄を埋めてください。",""))</f>
        <v/>
      </c>
      <c r="AN14" s="255"/>
      <c r="AO14" s="557" t="str">
        <f>IFERROR(VLOOKUP(K14,【参考】数式用!$A$2:$N$57,14,FALSE),"")</f>
        <v>加算対象</v>
      </c>
      <c r="AP14" s="557" t="str">
        <f t="shared" si="1"/>
        <v>N列に色付け</v>
      </c>
      <c r="AQ14" s="561" t="str">
        <f t="shared" si="2"/>
        <v>入力済</v>
      </c>
      <c r="AR14" s="540" t="str">
        <f t="shared" si="3"/>
        <v>入力済</v>
      </c>
      <c r="AS14" s="578" t="str">
        <f t="shared" ref="AS14:AS77" si="12">IF(AND(O14&lt;&gt;"", O14&lt;&gt;"処遇改善加算Ⅳ",AO14="加算対象"),"AH列に色付け","")</f>
        <v/>
      </c>
      <c r="AT14" s="540" t="str">
        <f t="shared" si="4"/>
        <v>入力済</v>
      </c>
      <c r="AU14" s="540" t="str">
        <f t="shared" ref="AU14:AU45" si="13">IF(OR(O14="処遇改善加算Ⅰ",O14="処遇改善加算Ⅱ"),"対象","")</f>
        <v/>
      </c>
      <c r="AV14" s="540" t="str">
        <f t="shared" si="5"/>
        <v/>
      </c>
      <c r="AW14" s="557" t="str">
        <f t="shared" si="6"/>
        <v/>
      </c>
      <c r="AX14" s="578" t="str">
        <f t="shared" ref="AX14:AX77" si="14">IF(AND(O14&lt;&gt;"", O14&lt;&gt;"処遇改善加算Ⅲ", O14&lt;&gt;"処遇改善加算Ⅳ",O14&lt;&gt;"処遇改善加算"), "対象", "")</f>
        <v/>
      </c>
      <c r="AY14" s="540" t="str">
        <f>IFERROR(VLOOKUP(K14,【参考】数式用!$AR$5:$AS$39,2, FALSE), "")</f>
        <v>生活介護V</v>
      </c>
      <c r="AZ14" s="557" t="str">
        <f t="shared" ref="AZ14:AZ77" si="15">IF(AND(AO14="加算対象",O14="処遇改善加算Ⅰ"),"AJ列に色付け","")</f>
        <v/>
      </c>
      <c r="BA14" s="560" t="str">
        <f t="shared" si="7"/>
        <v>入力済</v>
      </c>
      <c r="BB14" s="540" t="str">
        <f>IFERROR(VLOOKUP(K14,【参考】数式用!$AX$3:$AY$59, 2, FALSE), "")</f>
        <v>生活介護R8</v>
      </c>
      <c r="BC14" s="578" t="str">
        <f t="shared" ref="BC14:BC77" si="16">IF(COUNTIF(AG14:AI14,"*令和８年度特例要件を*")&gt;0,"AK列に色付け","")</f>
        <v/>
      </c>
      <c r="BD14" s="560" t="str">
        <f t="shared" si="8"/>
        <v>入力済</v>
      </c>
      <c r="BE14" s="577" t="str">
        <f t="shared" ref="BE14:BE77" si="17">IF(BC14="AK列に色付け","入力必要","")</f>
        <v/>
      </c>
      <c r="BF14" s="560" t="str">
        <f t="shared" si="9"/>
        <v>東京都</v>
      </c>
      <c r="BG14" s="597"/>
      <c r="BH14" s="593" t="str">
        <f t="shared" ref="BH14:BH77" si="18">IF(BC14="AK列に色付け",IF(OR(K14="重度障害者等包括支援",K14="施設入所支援",K14="短期入所",K14="就労定着支援",K14="居宅訪問型児童発達支援",K14="保育所等訪問支援",K14="障害者支援施設：生活介護",K14="障害者支援施設：自立訓練（機能訓練）",K14="障害者支援施設：自立訓練（生活訓練）",K14="障害者支援施設：就労移行支援",K14="障害者支援施設：就労継続支援Ａ型",K14="障害者支援施設：就労継続支援Ｂ型"),"Ⅱロなし","Ⅱロ有り"),"")</f>
        <v/>
      </c>
      <c r="BI14" s="616" t="str">
        <f>IF(BH14="Ⅱロ有り",ROUNDDOWN(L14*VLOOKUP(K14,【参考】数式用!$A$4:$J$42,10,FALSE)*AA14,0),"")</f>
        <v/>
      </c>
      <c r="BJ14" s="616" t="str">
        <f>IF(BH14="Ⅱロなし",ROUNDDOWN(L14*VLOOKUP(K14,【参考】数式用!$A$4:$J$42,8,FALSE)*AA14,0),"")</f>
        <v/>
      </c>
      <c r="BK14" s="219"/>
      <c r="BL14" s="219"/>
      <c r="BM14" s="219"/>
      <c r="BN14" s="219"/>
      <c r="BO14" s="219"/>
      <c r="BP14" s="220"/>
      <c r="BQ14"/>
    </row>
    <row r="15" spans="1:69" s="257" customFormat="1" ht="109.9" customHeight="1" thickBot="1">
      <c r="A15" s="303">
        <v>3</v>
      </c>
      <c r="B15" s="956" t="str">
        <f>IF(基本情報入力シート!B37="","",基本情報入力シート!B37)</f>
        <v>1234567901</v>
      </c>
      <c r="C15" s="957"/>
      <c r="D15" s="957"/>
      <c r="E15" s="957"/>
      <c r="F15" s="958"/>
      <c r="G15" s="304" t="str">
        <f>IF(基本情報入力シート!L37="", "", 基本情報入力シート!L37)</f>
        <v>東京都</v>
      </c>
      <c r="H15" s="304" t="str">
        <f>IF(基本情報入力シート!Q37="", "", 基本情報入力シート!Q37)</f>
        <v>東京都</v>
      </c>
      <c r="I15" s="304" t="str">
        <f>IF(基本情報入力シート!V37="", "", 基本情報入力シート!V37)</f>
        <v>立川市</v>
      </c>
      <c r="J15" s="304" t="str">
        <f>IF(基本情報入力シート!W37="", "", 基本情報入力シート!W37)</f>
        <v>障害福祉事業所名称０３</v>
      </c>
      <c r="K15" s="304" t="str">
        <f>IF(基本情報入力シート!Z37="", "", 基本情報入力シート!Z37)</f>
        <v>就労継続支援Ｂ型</v>
      </c>
      <c r="L15" s="558">
        <f>IF(基本情報入力シート!AF37=0, "",基本情報入力シート!AF37)</f>
        <v>2121150</v>
      </c>
      <c r="M15" s="588" t="s">
        <v>182</v>
      </c>
      <c r="N15" s="522">
        <f>IFERROR(VLOOKUP(K15,【参考】数式用!$A$2:$F$57,MATCH(M15,【参考】数式用!$C$3:$F$3,0)+2,0),"")</f>
        <v>9.2999999999999999E-2</v>
      </c>
      <c r="O15" s="511" t="s">
        <v>182</v>
      </c>
      <c r="P15" s="555">
        <f>IFERROR(VLOOKUP(K15,【参考】数式用!$A$2:$F$57,MATCH(O15,【参考】数式用!$C$3:$F$3,0)+2,0),"")</f>
        <v>9.2999999999999999E-2</v>
      </c>
      <c r="Q15" s="310" t="s">
        <v>118</v>
      </c>
      <c r="R15" s="308">
        <v>8</v>
      </c>
      <c r="S15" s="309" t="s">
        <v>183</v>
      </c>
      <c r="T15" s="308">
        <v>4</v>
      </c>
      <c r="U15" s="309" t="s">
        <v>184</v>
      </c>
      <c r="V15" s="308">
        <v>8</v>
      </c>
      <c r="W15" s="309" t="s">
        <v>183</v>
      </c>
      <c r="X15" s="308">
        <v>5</v>
      </c>
      <c r="Y15" s="309" t="s">
        <v>185</v>
      </c>
      <c r="Z15" s="309" t="s">
        <v>186</v>
      </c>
      <c r="AA15" s="309">
        <f t="shared" ref="AA15:AA19" si="19">IF(R15&gt;=1,(V15*12+X15)-(R15*12+T15)+1,"")</f>
        <v>2</v>
      </c>
      <c r="AB15" s="305" t="s">
        <v>187</v>
      </c>
      <c r="AC15" s="306">
        <f t="shared" si="10"/>
        <v>394534</v>
      </c>
      <c r="AD15" s="515">
        <f t="shared" si="11"/>
        <v>0</v>
      </c>
      <c r="AE15" s="307">
        <f>IFERROR(ROUNDDOWN(ROUNDDOWN(ROUND(L15*VLOOKUP(K15,【参考】数式用!$A$4:$F$57,MATCH("処遇改善加算Ⅳ",【参考】数式用!$C$3:$F$3,0)+2,0),0),0)*AA15*0.5,0), "")</f>
        <v>131511</v>
      </c>
      <c r="AF15" s="318" t="s">
        <v>2209</v>
      </c>
      <c r="AG15" s="319" t="s">
        <v>2209</v>
      </c>
      <c r="AH15" s="319" t="s">
        <v>2209</v>
      </c>
      <c r="AI15" s="318" t="s">
        <v>2209</v>
      </c>
      <c r="AJ15" s="320" t="s">
        <v>2360</v>
      </c>
      <c r="AK15" s="326"/>
      <c r="AL15" s="324" t="str">
        <f t="shared" si="0"/>
        <v/>
      </c>
      <c r="AM15" s="325" t="str">
        <f t="shared" ref="AM15:AM78" si="20">IF(OR(O15="",AO15="加算対象外"),"",IF(OR(AND(COUNTIF(AQ15,"未入力")&gt;0,AF15=""),AND(COUNTIF(AR15,"未入力")&gt;0,AG15=""),AND(COUNTIF(AO15:BF15,"AH列に色付け")&gt;0,AH15=""),AND(COUNT(AU15,"対象")&gt;0,AI15=""),,AND(COUNTIF(AO15:BF15,"AJ列に色付け")&gt;0,AJ15=""),AND(COUNTIF(AO15:BF15,"AK列に色付け")&gt;0,AK15="")),"！記入が必要な欄（オレンジ色のセル）に空欄があります。空欄を埋めてください。",""))</f>
        <v/>
      </c>
      <c r="AN15" s="255"/>
      <c r="AO15" s="557" t="str">
        <f>IFERROR(VLOOKUP(K15,【参考】数式用!$A$2:$N$57,14,FALSE),"")</f>
        <v>加算対象</v>
      </c>
      <c r="AP15" s="557" t="str">
        <f t="shared" si="1"/>
        <v>N列に色付け</v>
      </c>
      <c r="AQ15" s="561" t="str">
        <f t="shared" si="2"/>
        <v>入力済</v>
      </c>
      <c r="AR15" s="540" t="str">
        <f t="shared" si="3"/>
        <v>入力済</v>
      </c>
      <c r="AS15" s="578" t="str">
        <f t="shared" si="12"/>
        <v>AH列に色付け</v>
      </c>
      <c r="AT15" s="540" t="str">
        <f t="shared" si="4"/>
        <v>入力済</v>
      </c>
      <c r="AU15" s="540" t="str">
        <f t="shared" si="13"/>
        <v>対象</v>
      </c>
      <c r="AV15" s="540">
        <f t="shared" si="5"/>
        <v>1</v>
      </c>
      <c r="AW15" s="557" t="str">
        <f t="shared" si="6"/>
        <v/>
      </c>
      <c r="AX15" s="578" t="str">
        <f t="shared" si="14"/>
        <v>対象</v>
      </c>
      <c r="AY15" s="540" t="str">
        <f>IFERROR(VLOOKUP(K15,【参考】数式用!$AR$5:$AS$39,2, FALSE), "")</f>
        <v>就労継続支援Ｂ型V</v>
      </c>
      <c r="AZ15" s="557" t="str">
        <f t="shared" si="15"/>
        <v>AJ列に色付け</v>
      </c>
      <c r="BA15" s="560" t="str">
        <f t="shared" si="7"/>
        <v>入力済</v>
      </c>
      <c r="BB15" s="540" t="str">
        <f>IFERROR(VLOOKUP(K15,【参考】数式用!$AX$3:$AY$59, 2, FALSE), "")</f>
        <v>就労継続支援Ｂ型R8</v>
      </c>
      <c r="BC15" s="578" t="str">
        <f t="shared" si="16"/>
        <v/>
      </c>
      <c r="BD15" s="560" t="str">
        <f t="shared" si="8"/>
        <v>入力済</v>
      </c>
      <c r="BE15" s="577" t="str">
        <f t="shared" si="17"/>
        <v/>
      </c>
      <c r="BF15" s="560" t="str">
        <f t="shared" si="9"/>
        <v>東京都</v>
      </c>
      <c r="BG15" s="597"/>
      <c r="BH15" s="593" t="str">
        <f t="shared" si="18"/>
        <v/>
      </c>
      <c r="BI15" s="616" t="str">
        <f>IF(BH15="Ⅱロ有り",ROUNDDOWN(L15*VLOOKUP(K15,【参考】数式用!$A$4:$J$42,10,FALSE)*AA15,0),"")</f>
        <v/>
      </c>
      <c r="BJ15" s="616" t="str">
        <f>IF(BH15="Ⅱロなし",ROUNDDOWN(L15*VLOOKUP(K15,【参考】数式用!$A$4:$J$42,8,FALSE)*AA15,0),"")</f>
        <v/>
      </c>
      <c r="BK15" s="219"/>
      <c r="BL15" s="219"/>
      <c r="BM15" s="219"/>
      <c r="BN15" s="219"/>
      <c r="BO15" s="219"/>
      <c r="BP15" s="220"/>
      <c r="BQ15"/>
    </row>
    <row r="16" spans="1:69" s="257" customFormat="1" ht="109.9" customHeight="1" thickBot="1">
      <c r="A16" s="303">
        <v>3</v>
      </c>
      <c r="B16" s="956" t="str">
        <f>IF(基本情報入力シート!B38="","",基本情報入力シート!B38)</f>
        <v>1234567902</v>
      </c>
      <c r="C16" s="957"/>
      <c r="D16" s="957"/>
      <c r="E16" s="957"/>
      <c r="F16" s="958"/>
      <c r="G16" s="304" t="str">
        <f>IF(基本情報入力シート!L38="", "", 基本情報入力シート!L38)</f>
        <v>東京都</v>
      </c>
      <c r="H16" s="304" t="str">
        <f>IF(基本情報入力シート!Q38="", "", 基本情報入力シート!Q38)</f>
        <v>東京都</v>
      </c>
      <c r="I16" s="304" t="str">
        <f>IF(基本情報入力シート!V38="", "", 基本情報入力シート!V38)</f>
        <v>小金井市</v>
      </c>
      <c r="J16" s="304" t="str">
        <f>IF(基本情報入力シート!W38="", "", 基本情報入力シート!W38)</f>
        <v>障害福祉事業所名称０４</v>
      </c>
      <c r="K16" s="304" t="str">
        <f>IF(基本情報入力シート!Z38="", "", 基本情報入力シート!Z38)</f>
        <v>自立訓練（生活訓練）</v>
      </c>
      <c r="L16" s="558">
        <f>IF(基本情報入力シート!AF38=0, "",基本情報入力シート!AF38)</f>
        <v>6219600</v>
      </c>
      <c r="M16" s="588" t="s">
        <v>271</v>
      </c>
      <c r="N16" s="522">
        <f>IFERROR(VLOOKUP(K16,【参考】数式用!$A$2:$F$57,MATCH(M16,【参考】数式用!$C$3:$F$3,0)+2,0),"")</f>
        <v>0.08</v>
      </c>
      <c r="O16" s="511" t="s">
        <v>271</v>
      </c>
      <c r="P16" s="555">
        <f>IFERROR(VLOOKUP(K16,【参考】数式用!$A$2:$F$57,MATCH(O16,【参考】数式用!$C$3:$F$3,0)+2,0),"")</f>
        <v>0.08</v>
      </c>
      <c r="Q16" s="310" t="s">
        <v>118</v>
      </c>
      <c r="R16" s="308">
        <v>8</v>
      </c>
      <c r="S16" s="309" t="s">
        <v>183</v>
      </c>
      <c r="T16" s="308">
        <v>4</v>
      </c>
      <c r="U16" s="309" t="s">
        <v>184</v>
      </c>
      <c r="V16" s="308">
        <v>8</v>
      </c>
      <c r="W16" s="309" t="s">
        <v>183</v>
      </c>
      <c r="X16" s="308">
        <v>5</v>
      </c>
      <c r="Y16" s="309" t="s">
        <v>185</v>
      </c>
      <c r="Z16" s="309" t="s">
        <v>186</v>
      </c>
      <c r="AA16" s="309">
        <f t="shared" si="19"/>
        <v>2</v>
      </c>
      <c r="AB16" s="305" t="s">
        <v>187</v>
      </c>
      <c r="AC16" s="306">
        <f t="shared" si="10"/>
        <v>995136</v>
      </c>
      <c r="AD16" s="515">
        <f t="shared" si="11"/>
        <v>0</v>
      </c>
      <c r="AE16" s="307">
        <f>IFERROR(ROUNDDOWN(ROUNDDOWN(ROUND(L16*VLOOKUP(K16,【参考】数式用!$A$4:$F$57,MATCH("処遇改善加算Ⅳ",【参考】数式用!$C$3:$F$3,0)+2,0),0),0)*AA16*0.5,0), "")</f>
        <v>497568</v>
      </c>
      <c r="AF16" s="318" t="s">
        <v>2209</v>
      </c>
      <c r="AG16" s="319" t="s">
        <v>189</v>
      </c>
      <c r="AH16" s="319"/>
      <c r="AI16" s="318"/>
      <c r="AJ16" s="320"/>
      <c r="AK16" s="326" t="s">
        <v>2526</v>
      </c>
      <c r="AL16" s="324" t="str">
        <f t="shared" si="0"/>
        <v/>
      </c>
      <c r="AM16" s="325" t="str">
        <f t="shared" si="20"/>
        <v/>
      </c>
      <c r="AN16" s="255"/>
      <c r="AO16" s="557" t="str">
        <f>IFERROR(VLOOKUP(K16,【参考】数式用!$A$2:$N$57,14,FALSE),"")</f>
        <v>加算対象</v>
      </c>
      <c r="AP16" s="557" t="str">
        <f t="shared" si="1"/>
        <v>N列に色付け</v>
      </c>
      <c r="AQ16" s="561" t="str">
        <f t="shared" si="2"/>
        <v>入力済</v>
      </c>
      <c r="AR16" s="540" t="str">
        <f t="shared" si="3"/>
        <v>入力済</v>
      </c>
      <c r="AS16" s="578" t="str">
        <f t="shared" si="12"/>
        <v/>
      </c>
      <c r="AT16" s="540" t="str">
        <f t="shared" si="4"/>
        <v>入力済</v>
      </c>
      <c r="AU16" s="540" t="str">
        <f t="shared" si="13"/>
        <v/>
      </c>
      <c r="AV16" s="540" t="str">
        <f t="shared" si="5"/>
        <v/>
      </c>
      <c r="AW16" s="557" t="str">
        <f t="shared" si="6"/>
        <v/>
      </c>
      <c r="AX16" s="578" t="str">
        <f t="shared" si="14"/>
        <v/>
      </c>
      <c r="AY16" s="540" t="str">
        <f>IFERROR(VLOOKUP(K16,【参考】数式用!$AR$5:$AS$39,2, FALSE), "")</f>
        <v>自立訓練_生活訓練_V</v>
      </c>
      <c r="AZ16" s="557" t="str">
        <f t="shared" si="15"/>
        <v/>
      </c>
      <c r="BA16" s="560" t="str">
        <f t="shared" si="7"/>
        <v>入力済</v>
      </c>
      <c r="BB16" s="540" t="str">
        <f>IFERROR(VLOOKUP(K16,【参考】数式用!$AX$3:$AY$59, 2, FALSE), "")</f>
        <v>自立訓練_生活訓練_R8</v>
      </c>
      <c r="BC16" s="578" t="str">
        <f t="shared" si="16"/>
        <v>AK列に色付け</v>
      </c>
      <c r="BD16" s="560" t="str">
        <f t="shared" si="8"/>
        <v>入力済</v>
      </c>
      <c r="BE16" s="577" t="str">
        <f t="shared" si="17"/>
        <v>入力必要</v>
      </c>
      <c r="BF16" s="560" t="str">
        <f t="shared" si="9"/>
        <v>東京都</v>
      </c>
      <c r="BG16" s="597"/>
      <c r="BH16" s="593" t="str">
        <f t="shared" si="18"/>
        <v>Ⅱロ有り</v>
      </c>
      <c r="BI16" s="616">
        <f>IF(BH16="Ⅱロ有り",ROUNDDOWN(L16*VLOOKUP(K16,【参考】数式用!$A$4:$J$42,10,FALSE)*AA16,0),"")</f>
        <v>2077346</v>
      </c>
      <c r="BJ16" s="616" t="str">
        <f>IF(BH16="Ⅱロなし",ROUNDDOWN(L16*VLOOKUP(K16,【参考】数式用!$A$4:$J$42,8,FALSE)*AA16,0),"")</f>
        <v/>
      </c>
      <c r="BK16" s="219"/>
      <c r="BL16" s="219"/>
      <c r="BM16" s="219"/>
      <c r="BN16" s="219"/>
      <c r="BO16" s="219"/>
      <c r="BP16" s="220"/>
      <c r="BQ16"/>
    </row>
    <row r="17" spans="1:69" s="257" customFormat="1" ht="109.9" customHeight="1" thickBot="1">
      <c r="A17" s="303">
        <v>4</v>
      </c>
      <c r="B17" s="956" t="str">
        <f>IF(基本情報入力シート!B39="","",基本情報入力シート!B39)</f>
        <v>1234567903</v>
      </c>
      <c r="C17" s="957"/>
      <c r="D17" s="957"/>
      <c r="E17" s="957"/>
      <c r="F17" s="958"/>
      <c r="G17" s="304" t="str">
        <f>IF(基本情報入力シート!L39="", "", 基本情報入力シート!L39)</f>
        <v>東京都</v>
      </c>
      <c r="H17" s="304" t="str">
        <f>IF(基本情報入力シート!Q39="", "", 基本情報入力シート!Q39)</f>
        <v>東京都</v>
      </c>
      <c r="I17" s="304" t="str">
        <f>IF(基本情報入力シート!V39="", "", 基本情報入力シート!V39)</f>
        <v>国分寺市</v>
      </c>
      <c r="J17" s="304" t="str">
        <f>IF(基本情報入力シート!W39="", "", 基本情報入力シート!W39)</f>
        <v>障害福祉事業所名称０５</v>
      </c>
      <c r="K17" s="304" t="str">
        <f>IF(基本情報入力シート!Z39="", "", 基本情報入力シート!Z39)</f>
        <v>療養介護</v>
      </c>
      <c r="L17" s="558">
        <f>IF(基本情報入力シート!AF39=0, "",基本情報入力シート!AF39)</f>
        <v>10642600</v>
      </c>
      <c r="M17" s="588" t="s">
        <v>196</v>
      </c>
      <c r="N17" s="522">
        <f>IFERROR(VLOOKUP(K17,【参考】数式用!$A$2:$F$57,MATCH(M17,【参考】数式用!$C$3:$F$3,0)+2,0),"")</f>
        <v>0.11599999999999999</v>
      </c>
      <c r="O17" s="511" t="s">
        <v>196</v>
      </c>
      <c r="P17" s="555">
        <f>IFERROR(VLOOKUP(K17,【参考】数式用!$A$2:$F$57,MATCH(O17,【参考】数式用!$C$3:$F$3,0)+2,0),"")</f>
        <v>0.11599999999999999</v>
      </c>
      <c r="Q17" s="310" t="s">
        <v>118</v>
      </c>
      <c r="R17" s="308">
        <v>8</v>
      </c>
      <c r="S17" s="309" t="s">
        <v>183</v>
      </c>
      <c r="T17" s="308">
        <v>4</v>
      </c>
      <c r="U17" s="309" t="s">
        <v>184</v>
      </c>
      <c r="V17" s="308">
        <v>8</v>
      </c>
      <c r="W17" s="309" t="s">
        <v>183</v>
      </c>
      <c r="X17" s="308">
        <v>5</v>
      </c>
      <c r="Y17" s="309" t="s">
        <v>120</v>
      </c>
      <c r="Z17" s="309" t="s">
        <v>186</v>
      </c>
      <c r="AA17" s="309">
        <f t="shared" si="19"/>
        <v>2</v>
      </c>
      <c r="AB17" s="305" t="s">
        <v>187</v>
      </c>
      <c r="AC17" s="306">
        <f t="shared" si="10"/>
        <v>2469084</v>
      </c>
      <c r="AD17" s="515">
        <f t="shared" si="11"/>
        <v>0</v>
      </c>
      <c r="AE17" s="307">
        <f>IFERROR(ROUNDDOWN(ROUNDDOWN(ROUND(L17*VLOOKUP(K17,【参考】数式用!$A$4:$F$57,MATCH("処遇改善加算Ⅳ",【参考】数式用!$C$3:$F$3,0)+2,0),0),0)*AA17*0.5,0), "")</f>
        <v>1053617</v>
      </c>
      <c r="AF17" s="318" t="s">
        <v>2209</v>
      </c>
      <c r="AG17" s="319" t="s">
        <v>2209</v>
      </c>
      <c r="AH17" s="319" t="s">
        <v>189</v>
      </c>
      <c r="AI17" s="318"/>
      <c r="AJ17" s="320"/>
      <c r="AK17" s="326" t="s">
        <v>2462</v>
      </c>
      <c r="AL17" s="324" t="str">
        <f t="shared" si="0"/>
        <v/>
      </c>
      <c r="AM17" s="325" t="str">
        <f t="shared" si="20"/>
        <v/>
      </c>
      <c r="AN17" s="255"/>
      <c r="AO17" s="557" t="str">
        <f>IFERROR(VLOOKUP(K17,【参考】数式用!$A$2:$N$57,14,FALSE),"")</f>
        <v>加算対象</v>
      </c>
      <c r="AP17" s="557" t="str">
        <f t="shared" si="1"/>
        <v>N列に色付け</v>
      </c>
      <c r="AQ17" s="561" t="str">
        <f t="shared" si="2"/>
        <v>入力済</v>
      </c>
      <c r="AR17" s="540" t="str">
        <f t="shared" si="3"/>
        <v>入力済</v>
      </c>
      <c r="AS17" s="578" t="str">
        <f t="shared" si="12"/>
        <v>AH列に色付け</v>
      </c>
      <c r="AT17" s="540" t="str">
        <f t="shared" si="4"/>
        <v>入力済</v>
      </c>
      <c r="AU17" s="540" t="str">
        <f t="shared" si="13"/>
        <v/>
      </c>
      <c r="AV17" s="540" t="str">
        <f t="shared" si="5"/>
        <v/>
      </c>
      <c r="AW17" s="557" t="str">
        <f t="shared" si="6"/>
        <v/>
      </c>
      <c r="AX17" s="578" t="str">
        <f t="shared" si="14"/>
        <v/>
      </c>
      <c r="AY17" s="540" t="str">
        <f>IFERROR(VLOOKUP(K17,【参考】数式用!$AR$5:$AS$39,2, FALSE), "")</f>
        <v>療養介護V</v>
      </c>
      <c r="AZ17" s="557" t="str">
        <f t="shared" si="15"/>
        <v/>
      </c>
      <c r="BA17" s="560" t="str">
        <f t="shared" si="7"/>
        <v>入力済</v>
      </c>
      <c r="BB17" s="540" t="str">
        <f>IFERROR(VLOOKUP(K17,【参考】数式用!$AX$3:$AY$59, 2, FALSE), "")</f>
        <v>療養介護R8</v>
      </c>
      <c r="BC17" s="578" t="str">
        <f t="shared" si="16"/>
        <v>AK列に色付け</v>
      </c>
      <c r="BD17" s="560" t="str">
        <f t="shared" si="8"/>
        <v>入力済</v>
      </c>
      <c r="BE17" s="577" t="str">
        <f t="shared" si="17"/>
        <v>入力必要</v>
      </c>
      <c r="BF17" s="560" t="str">
        <f t="shared" si="9"/>
        <v>東京都</v>
      </c>
      <c r="BG17" s="597"/>
      <c r="BH17" s="593" t="str">
        <f t="shared" si="18"/>
        <v>Ⅱロ有り</v>
      </c>
      <c r="BI17" s="616">
        <f>IF(BH17="Ⅱロ有り",ROUNDDOWN(L17*VLOOKUP(K17,【参考】数式用!$A$4:$J$42,10,FALSE)*AA17,0),"")</f>
        <v>3597198</v>
      </c>
      <c r="BJ17" s="616" t="str">
        <f>IF(BH17="Ⅱロなし",ROUNDDOWN(L17*VLOOKUP(K17,【参考】数式用!$A$4:$J$42,8,FALSE)*AA17,0),"")</f>
        <v/>
      </c>
      <c r="BK17" s="219"/>
      <c r="BL17" s="219"/>
      <c r="BM17" s="219"/>
      <c r="BN17" s="219"/>
      <c r="BO17" s="219"/>
      <c r="BP17" s="220"/>
      <c r="BQ17"/>
    </row>
    <row r="18" spans="1:69" s="257" customFormat="1" ht="109.9" customHeight="1" thickBot="1">
      <c r="A18" s="303">
        <v>5</v>
      </c>
      <c r="B18" s="956" t="str">
        <f>IF(基本情報入力シート!B40="","",基本情報入力シート!B40)</f>
        <v>1234567904</v>
      </c>
      <c r="C18" s="957"/>
      <c r="D18" s="957"/>
      <c r="E18" s="957"/>
      <c r="F18" s="958"/>
      <c r="G18" s="304" t="str">
        <f>IF(基本情報入力シート!L40="", "", 基本情報入力シート!L40)</f>
        <v>東京都</v>
      </c>
      <c r="H18" s="304" t="str">
        <f>IF(基本情報入力シート!Q40="", "", 基本情報入力シート!Q40)</f>
        <v>東京都</v>
      </c>
      <c r="I18" s="304" t="str">
        <f>IF(基本情報入力シート!V40="", "", 基本情報入力シート!V40)</f>
        <v>杉並区</v>
      </c>
      <c r="J18" s="304" t="str">
        <f>IF(基本情報入力シート!W40="", "", 基本情報入力シート!W40)</f>
        <v>障害福祉事業所名称０６</v>
      </c>
      <c r="K18" s="304" t="str">
        <f>IF(基本情報入力シート!Z40="", "", 基本情報入力シート!Z40)</f>
        <v>計画相談支援</v>
      </c>
      <c r="L18" s="558">
        <f>IF(基本情報入力シート!AF40=0, "",基本情報入力シート!AF40)</f>
        <v>474500</v>
      </c>
      <c r="M18" s="588"/>
      <c r="N18" s="522" t="str">
        <f>IFERROR(VLOOKUP(K18,【参考】数式用!$A$2:$F$57,MATCH(M18,【参考】数式用!$C$3:$F$3,0)+2,0),"")</f>
        <v/>
      </c>
      <c r="O18" s="511"/>
      <c r="P18" s="555" t="str">
        <f>IFERROR(VLOOKUP(K18,【参考】数式用!$A$2:$F$57,MATCH(O18,【参考】数式用!$C$3:$F$3,0)+2,0),"")</f>
        <v/>
      </c>
      <c r="Q18" s="310" t="s">
        <v>118</v>
      </c>
      <c r="R18" s="308"/>
      <c r="S18" s="309" t="s">
        <v>183</v>
      </c>
      <c r="T18" s="308"/>
      <c r="U18" s="309" t="s">
        <v>184</v>
      </c>
      <c r="V18" s="308"/>
      <c r="W18" s="309" t="s">
        <v>183</v>
      </c>
      <c r="X18" s="308"/>
      <c r="Y18" s="309" t="s">
        <v>120</v>
      </c>
      <c r="Z18" s="309" t="s">
        <v>186</v>
      </c>
      <c r="AA18" s="309" t="str">
        <f t="shared" si="19"/>
        <v/>
      </c>
      <c r="AB18" s="305" t="s">
        <v>187</v>
      </c>
      <c r="AC18" s="306" t="str">
        <f t="shared" si="10"/>
        <v/>
      </c>
      <c r="AD18" s="515" t="str">
        <f t="shared" si="11"/>
        <v/>
      </c>
      <c r="AE18" s="307" t="str">
        <f>IFERROR(ROUNDDOWN(ROUNDDOWN(ROUND(L18*VLOOKUP(K18,【参考】数式用!$A$4:$F$57,MATCH("処遇改善加算Ⅳ",【参考】数式用!$C$3:$F$3,0)+2,0),0),0)*AA18*0.5,0), "")</f>
        <v/>
      </c>
      <c r="AF18" s="318"/>
      <c r="AG18" s="319"/>
      <c r="AH18" s="319"/>
      <c r="AI18" s="318"/>
      <c r="AJ18" s="320"/>
      <c r="AK18" s="326"/>
      <c r="AL18" s="324" t="str">
        <f t="shared" si="0"/>
        <v/>
      </c>
      <c r="AM18" s="325" t="str">
        <f t="shared" si="20"/>
        <v/>
      </c>
      <c r="AN18" s="255"/>
      <c r="AO18" s="557" t="str">
        <f>IFERROR(VLOOKUP(K18,【参考】数式用!$A$2:$N$57,14,FALSE),"")</f>
        <v>加算対象外</v>
      </c>
      <c r="AP18" s="557" t="str">
        <f t="shared" si="1"/>
        <v/>
      </c>
      <c r="AQ18" s="561" t="str">
        <f t="shared" si="2"/>
        <v/>
      </c>
      <c r="AR18" s="540" t="str">
        <f t="shared" si="3"/>
        <v>入力済</v>
      </c>
      <c r="AS18" s="578" t="str">
        <f t="shared" si="12"/>
        <v/>
      </c>
      <c r="AT18" s="540" t="str">
        <f t="shared" si="4"/>
        <v>入力済</v>
      </c>
      <c r="AU18" s="540" t="str">
        <f t="shared" si="13"/>
        <v/>
      </c>
      <c r="AV18" s="540" t="str">
        <f t="shared" si="5"/>
        <v/>
      </c>
      <c r="AW18" s="557" t="str">
        <f t="shared" si="6"/>
        <v/>
      </c>
      <c r="AX18" s="578" t="str">
        <f t="shared" si="14"/>
        <v/>
      </c>
      <c r="AY18" s="540" t="str">
        <f>IFERROR(VLOOKUP(K18,【参考】数式用!$AR$5:$AS$39,2, FALSE), "")</f>
        <v/>
      </c>
      <c r="AZ18" s="557" t="str">
        <f t="shared" si="15"/>
        <v/>
      </c>
      <c r="BA18" s="560" t="str">
        <f t="shared" si="7"/>
        <v>入力済</v>
      </c>
      <c r="BB18" s="540" t="str">
        <f>IFERROR(VLOOKUP(K18,【参考】数式用!$AX$3:$AY$59, 2, FALSE), "")</f>
        <v>計画相談支援R8</v>
      </c>
      <c r="BC18" s="578" t="str">
        <f t="shared" si="16"/>
        <v/>
      </c>
      <c r="BD18" s="560" t="str">
        <f t="shared" si="8"/>
        <v>入力済</v>
      </c>
      <c r="BE18" s="577" t="str">
        <f t="shared" si="17"/>
        <v/>
      </c>
      <c r="BF18" s="560" t="str">
        <f t="shared" si="9"/>
        <v>東京都</v>
      </c>
      <c r="BG18" s="612"/>
      <c r="BH18" s="593" t="str">
        <f t="shared" si="18"/>
        <v/>
      </c>
      <c r="BI18" s="616" t="str">
        <f>IF(BH18="Ⅱロ有り",ROUNDDOWN(L18*VLOOKUP(K18,【参考】数式用!$A$4:$J$42,10,FALSE)*AA18,0),"")</f>
        <v/>
      </c>
      <c r="BJ18" s="616" t="str">
        <f>IF(BH18="Ⅱロなし",ROUNDDOWN(L18*VLOOKUP(K18,【参考】数式用!$A$4:$J$42,8,FALSE)*AA18,0),"")</f>
        <v/>
      </c>
    </row>
    <row r="19" spans="1:69" s="257" customFormat="1" ht="109.9" customHeight="1" thickBot="1">
      <c r="A19" s="303">
        <v>6</v>
      </c>
      <c r="B19" s="956" t="str">
        <f>IF(基本情報入力シート!B41="","",基本情報入力シート!B41)</f>
        <v>1234567905</v>
      </c>
      <c r="C19" s="957"/>
      <c r="D19" s="957"/>
      <c r="E19" s="957"/>
      <c r="F19" s="958"/>
      <c r="G19" s="304" t="str">
        <f>IF(基本情報入力シート!L41="", "", 基本情報入力シート!L41)</f>
        <v>東京都</v>
      </c>
      <c r="H19" s="304" t="str">
        <f>IF(基本情報入力シート!Q41="", "", 基本情報入力シート!Q41)</f>
        <v>東京都</v>
      </c>
      <c r="I19" s="304" t="str">
        <f>IF(基本情報入力シート!V41="", "", 基本情報入力シート!V41)</f>
        <v>中野区</v>
      </c>
      <c r="J19" s="304" t="str">
        <f>IF(基本情報入力シート!W41="", "", 基本情報入力シート!W41)</f>
        <v>障害福祉事業所名称０７</v>
      </c>
      <c r="K19" s="304" t="str">
        <f>IF(基本情報入力シート!Z41="", "", 基本情報入力シート!Z41)</f>
        <v>地域相談支援（地域移行支援）</v>
      </c>
      <c r="L19" s="558">
        <f>IF(基本情報入力シート!AF41=0, "",基本情報入力シート!AF41)</f>
        <v>379600</v>
      </c>
      <c r="M19" s="588"/>
      <c r="N19" s="522" t="str">
        <f>IFERROR(VLOOKUP(K19,【参考】数式用!$A$2:$F$57,MATCH(M19,【参考】数式用!$C$3:$F$3,0)+2,0),"")</f>
        <v/>
      </c>
      <c r="O19" s="511"/>
      <c r="P19" s="555" t="str">
        <f>IFERROR(VLOOKUP(K19,【参考】数式用!$A$2:$F$57,MATCH(O19,【参考】数式用!$C$3:$F$3,0)+2,0),"")</f>
        <v/>
      </c>
      <c r="Q19" s="310" t="s">
        <v>118</v>
      </c>
      <c r="R19" s="308"/>
      <c r="S19" s="309" t="s">
        <v>183</v>
      </c>
      <c r="T19" s="308"/>
      <c r="U19" s="309" t="s">
        <v>184</v>
      </c>
      <c r="V19" s="308"/>
      <c r="W19" s="309" t="s">
        <v>183</v>
      </c>
      <c r="X19" s="308"/>
      <c r="Y19" s="309" t="s">
        <v>185</v>
      </c>
      <c r="Z19" s="309" t="s">
        <v>186</v>
      </c>
      <c r="AA19" s="309" t="str">
        <f t="shared" si="19"/>
        <v/>
      </c>
      <c r="AB19" s="305" t="s">
        <v>187</v>
      </c>
      <c r="AC19" s="306" t="str">
        <f t="shared" si="10"/>
        <v/>
      </c>
      <c r="AD19" s="515" t="str">
        <f t="shared" si="11"/>
        <v/>
      </c>
      <c r="AE19" s="307" t="str">
        <f>IFERROR(ROUNDDOWN(ROUNDDOWN(ROUND(L19*VLOOKUP(K19,【参考】数式用!$A$4:$F$57,MATCH("処遇改善加算Ⅳ",【参考】数式用!$C$3:$F$3,0)+2,0),0),0)*AA19*0.5,0), "")</f>
        <v/>
      </c>
      <c r="AF19" s="318"/>
      <c r="AG19" s="319"/>
      <c r="AH19" s="319"/>
      <c r="AI19" s="318"/>
      <c r="AJ19" s="320"/>
      <c r="AK19" s="326"/>
      <c r="AL19" s="324" t="str">
        <f t="shared" si="0"/>
        <v/>
      </c>
      <c r="AM19" s="325" t="str">
        <f t="shared" si="20"/>
        <v/>
      </c>
      <c r="AN19" s="255"/>
      <c r="AO19" s="557" t="str">
        <f>IFERROR(VLOOKUP(K19,【参考】数式用!$A$2:$N$57,14,FALSE),"")</f>
        <v>加算対象外</v>
      </c>
      <c r="AP19" s="557" t="str">
        <f t="shared" si="1"/>
        <v/>
      </c>
      <c r="AQ19" s="561" t="str">
        <f t="shared" si="2"/>
        <v/>
      </c>
      <c r="AR19" s="540" t="str">
        <f t="shared" si="3"/>
        <v>入力済</v>
      </c>
      <c r="AS19" s="578" t="str">
        <f t="shared" si="12"/>
        <v/>
      </c>
      <c r="AT19" s="540" t="str">
        <f t="shared" si="4"/>
        <v>入力済</v>
      </c>
      <c r="AU19" s="540" t="str">
        <f t="shared" si="13"/>
        <v/>
      </c>
      <c r="AV19" s="540" t="str">
        <f t="shared" si="5"/>
        <v/>
      </c>
      <c r="AW19" s="557" t="str">
        <f t="shared" si="6"/>
        <v/>
      </c>
      <c r="AX19" s="578" t="str">
        <f t="shared" si="14"/>
        <v/>
      </c>
      <c r="AY19" s="540" t="str">
        <f>IFERROR(VLOOKUP(K19,【参考】数式用!$AR$5:$AS$39,2, FALSE), "")</f>
        <v/>
      </c>
      <c r="AZ19" s="557" t="str">
        <f t="shared" si="15"/>
        <v/>
      </c>
      <c r="BA19" s="560" t="str">
        <f t="shared" si="7"/>
        <v>入力済</v>
      </c>
      <c r="BB19" s="540" t="str">
        <f>IFERROR(VLOOKUP(K19,【参考】数式用!$AX$3:$AY$59, 2, FALSE), "")</f>
        <v>地域相談支援_地域移行支援_R8</v>
      </c>
      <c r="BC19" s="578" t="str">
        <f t="shared" si="16"/>
        <v/>
      </c>
      <c r="BD19" s="560" t="str">
        <f t="shared" si="8"/>
        <v>入力済</v>
      </c>
      <c r="BE19" s="577" t="str">
        <f t="shared" si="17"/>
        <v/>
      </c>
      <c r="BF19" s="560" t="str">
        <f t="shared" si="9"/>
        <v>東京都</v>
      </c>
      <c r="BG19" s="612"/>
      <c r="BH19" s="593" t="str">
        <f t="shared" si="18"/>
        <v/>
      </c>
      <c r="BI19" s="616" t="str">
        <f>IF(BH19="Ⅱロ有り",ROUNDDOWN(L19*VLOOKUP(K19,【参考】数式用!$A$4:$J$42,10,FALSE)*AA19,0),"")</f>
        <v/>
      </c>
      <c r="BJ19" s="616" t="str">
        <f>IF(BH19="Ⅱロなし",ROUNDDOWN(L19*VLOOKUP(K19,【参考】数式用!$A$4:$J$42,8,FALSE)*AA19,0),"")</f>
        <v/>
      </c>
    </row>
    <row r="20" spans="1:69" s="257" customFormat="1" ht="109.9" customHeight="1" thickBot="1">
      <c r="A20" s="303">
        <v>7</v>
      </c>
      <c r="B20" s="956" t="str">
        <f>IF(基本情報入力シート!B42="","",基本情報入力シート!B42)</f>
        <v>1234567906</v>
      </c>
      <c r="C20" s="957"/>
      <c r="D20" s="957"/>
      <c r="E20" s="957"/>
      <c r="F20" s="958"/>
      <c r="G20" s="304" t="str">
        <f>IF(基本情報入力シート!L42="", "", 基本情報入力シート!L42)</f>
        <v>東京都</v>
      </c>
      <c r="H20" s="304" t="str">
        <f>IF(基本情報入力シート!Q42="", "", 基本情報入力シート!Q42)</f>
        <v>東京都</v>
      </c>
      <c r="I20" s="304" t="str">
        <f>IF(基本情報入力シート!V42="", "", 基本情報入力シート!V42)</f>
        <v>新宿区</v>
      </c>
      <c r="J20" s="304" t="str">
        <f>IF(基本情報入力シート!W42="", "", 基本情報入力シート!W42)</f>
        <v>障害福祉事業所名称０８</v>
      </c>
      <c r="K20" s="304" t="str">
        <f>IF(基本情報入力シート!Z42="", "", 基本情報入力シート!Z42)</f>
        <v>障害者支援施設：生活介護</v>
      </c>
      <c r="L20" s="558">
        <f>IF(基本情報入力シート!AF42=0, "",基本情報入力シート!AF42)</f>
        <v>480000</v>
      </c>
      <c r="M20" s="588" t="s">
        <v>196</v>
      </c>
      <c r="N20" s="522">
        <f>IFERROR(VLOOKUP(K20,【参考】数式用!$A$2:$F$57,MATCH(M20,【参考】数式用!$C$3:$F$3,0)+2,0),"")</f>
        <v>8.4000000000000005E-2</v>
      </c>
      <c r="O20" s="511" t="s">
        <v>196</v>
      </c>
      <c r="P20" s="555">
        <f>IFERROR(VLOOKUP(K20,【参考】数式用!$A$2:$F$57,MATCH(O20,【参考】数式用!$C$3:$F$3,0)+2,0),"")</f>
        <v>8.4000000000000005E-2</v>
      </c>
      <c r="Q20" s="310" t="s">
        <v>118</v>
      </c>
      <c r="R20" s="308">
        <v>8</v>
      </c>
      <c r="S20" s="309" t="s">
        <v>183</v>
      </c>
      <c r="T20" s="308">
        <v>4</v>
      </c>
      <c r="U20" s="309" t="s">
        <v>184</v>
      </c>
      <c r="V20" s="308">
        <v>8</v>
      </c>
      <c r="W20" s="309" t="s">
        <v>183</v>
      </c>
      <c r="X20" s="308">
        <v>5</v>
      </c>
      <c r="Y20" s="309" t="s">
        <v>185</v>
      </c>
      <c r="Z20" s="309" t="s">
        <v>186</v>
      </c>
      <c r="AA20" s="309">
        <f t="shared" ref="AA20:AA83" si="21">IF(R20&gt;=1,(V20*12+X20)-(R20*12+T20)+1,"")</f>
        <v>2</v>
      </c>
      <c r="AB20" s="305" t="s">
        <v>187</v>
      </c>
      <c r="AC20" s="306">
        <f t="shared" si="10"/>
        <v>80640</v>
      </c>
      <c r="AD20" s="515">
        <f t="shared" si="11"/>
        <v>0</v>
      </c>
      <c r="AE20" s="307">
        <f>IFERROR(ROUNDDOWN(ROUNDDOWN(ROUND(L20*VLOOKUP(K20,【参考】数式用!$A$4:$F$57,MATCH("処遇改善加算Ⅳ",【参考】数式用!$C$3:$F$3,0)+2,0),0),0)*AA20*0.5,0), "")</f>
        <v>32160</v>
      </c>
      <c r="AF20" s="318" t="s">
        <v>2209</v>
      </c>
      <c r="AG20" s="319" t="s">
        <v>2209</v>
      </c>
      <c r="AH20" s="319" t="s">
        <v>2209</v>
      </c>
      <c r="AI20" s="318"/>
      <c r="AJ20" s="320"/>
      <c r="AK20" s="326"/>
      <c r="AL20" s="324" t="str">
        <f t="shared" si="0"/>
        <v/>
      </c>
      <c r="AM20" s="325" t="str">
        <f t="shared" si="20"/>
        <v/>
      </c>
      <c r="AN20" s="255"/>
      <c r="AO20" s="557" t="str">
        <f>IFERROR(VLOOKUP(K20,【参考】数式用!$A$2:$N$57,14,FALSE),"")</f>
        <v>加算対象</v>
      </c>
      <c r="AP20" s="557" t="str">
        <f t="shared" si="1"/>
        <v>N列に色付け</v>
      </c>
      <c r="AQ20" s="561" t="str">
        <f t="shared" si="2"/>
        <v>入力済</v>
      </c>
      <c r="AR20" s="540" t="str">
        <f t="shared" si="3"/>
        <v>入力済</v>
      </c>
      <c r="AS20" s="578" t="str">
        <f t="shared" si="12"/>
        <v>AH列に色付け</v>
      </c>
      <c r="AT20" s="540" t="str">
        <f t="shared" si="4"/>
        <v>入力済</v>
      </c>
      <c r="AU20" s="540" t="str">
        <f t="shared" si="13"/>
        <v/>
      </c>
      <c r="AV20" s="540" t="str">
        <f t="shared" si="5"/>
        <v/>
      </c>
      <c r="AW20" s="557" t="str">
        <f t="shared" si="6"/>
        <v/>
      </c>
      <c r="AX20" s="578" t="str">
        <f t="shared" si="14"/>
        <v/>
      </c>
      <c r="AY20" s="540" t="str">
        <f>IFERROR(VLOOKUP(K20,【参考】数式用!$AR$5:$AS$39,2, FALSE), "")</f>
        <v>障害者支援施設_生活介護V</v>
      </c>
      <c r="AZ20" s="557" t="str">
        <f t="shared" si="15"/>
        <v/>
      </c>
      <c r="BA20" s="560" t="str">
        <f t="shared" si="7"/>
        <v>入力済</v>
      </c>
      <c r="BB20" s="540" t="str">
        <f>IFERROR(VLOOKUP(K20,【参考】数式用!$AX$3:$AY$59, 2, FALSE), "")</f>
        <v>障害者支援施設_生活介護R8</v>
      </c>
      <c r="BC20" s="578" t="str">
        <f t="shared" si="16"/>
        <v/>
      </c>
      <c r="BD20" s="560" t="str">
        <f t="shared" si="8"/>
        <v>入力済</v>
      </c>
      <c r="BE20" s="577" t="str">
        <f t="shared" si="17"/>
        <v/>
      </c>
      <c r="BF20" s="560" t="str">
        <f t="shared" si="9"/>
        <v>東京都</v>
      </c>
      <c r="BG20" s="612"/>
      <c r="BH20" s="593" t="str">
        <f t="shared" si="18"/>
        <v/>
      </c>
      <c r="BI20" s="616" t="str">
        <f>IF(BH20="Ⅱロ有り",ROUNDDOWN(L20*VLOOKUP(K20,【参考】数式用!$A$4:$J$42,10,FALSE)*AA20,0),"")</f>
        <v/>
      </c>
      <c r="BJ20" s="616" t="str">
        <f>IF(BH20="Ⅱロなし",ROUNDDOWN(L20*VLOOKUP(K20,【参考】数式用!$A$4:$J$42,8,FALSE)*AA20,0),"")</f>
        <v/>
      </c>
    </row>
    <row r="21" spans="1:69" s="257" customFormat="1" ht="109.9" customHeight="1" thickBot="1">
      <c r="A21" s="303">
        <v>8</v>
      </c>
      <c r="B21" s="956" t="str">
        <f>IF(基本情報入力シート!B43="","",基本情報入力シート!B43)</f>
        <v/>
      </c>
      <c r="C21" s="957"/>
      <c r="D21" s="957"/>
      <c r="E21" s="957"/>
      <c r="F21" s="958"/>
      <c r="G21" s="304" t="str">
        <f>IF(基本情報入力シート!L43="", "", 基本情報入力シート!L43)</f>
        <v/>
      </c>
      <c r="H21" s="304" t="str">
        <f>IF(基本情報入力シート!Q43="", "", 基本情報入力シート!Q43)</f>
        <v/>
      </c>
      <c r="I21" s="304" t="str">
        <f>IF(基本情報入力シート!V43="", "", 基本情報入力シート!V43)</f>
        <v/>
      </c>
      <c r="J21" s="304" t="str">
        <f>IF(基本情報入力シート!W43="", "", 基本情報入力シート!W43)</f>
        <v/>
      </c>
      <c r="K21" s="304" t="str">
        <f>IF(基本情報入力シート!Z43="", "", 基本情報入力シート!Z43)</f>
        <v/>
      </c>
      <c r="L21" s="558" t="str">
        <f>IF(基本情報入力シート!AF43=0, "",基本情報入力シート!AF43)</f>
        <v/>
      </c>
      <c r="M21" s="588"/>
      <c r="N21" s="522" t="str">
        <f>IFERROR(VLOOKUP(K21,【参考】数式用!$A$2:$F$57,MATCH(M21,【参考】数式用!$C$3:$F$3,0)+2,0),"")</f>
        <v/>
      </c>
      <c r="O21" s="511"/>
      <c r="P21" s="555" t="str">
        <f>IFERROR(VLOOKUP(K21,【参考】数式用!$A$2:$F$57,MATCH(O21,【参考】数式用!$C$3:$F$3,0)+2,0),"")</f>
        <v/>
      </c>
      <c r="Q21" s="310" t="s">
        <v>118</v>
      </c>
      <c r="R21" s="308"/>
      <c r="S21" s="309" t="s">
        <v>183</v>
      </c>
      <c r="T21" s="308"/>
      <c r="U21" s="309" t="s">
        <v>184</v>
      </c>
      <c r="V21" s="308"/>
      <c r="W21" s="309" t="s">
        <v>183</v>
      </c>
      <c r="X21" s="308"/>
      <c r="Y21" s="309" t="s">
        <v>185</v>
      </c>
      <c r="Z21" s="309" t="s">
        <v>186</v>
      </c>
      <c r="AA21" s="309" t="str">
        <f t="shared" si="21"/>
        <v/>
      </c>
      <c r="AB21" s="305" t="s">
        <v>187</v>
      </c>
      <c r="AC21" s="306" t="str">
        <f t="shared" si="10"/>
        <v/>
      </c>
      <c r="AD21" s="515" t="str">
        <f t="shared" si="11"/>
        <v/>
      </c>
      <c r="AE21" s="307" t="str">
        <f>IFERROR(ROUNDDOWN(ROUNDDOWN(ROUND(L21*VLOOKUP(K21,【参考】数式用!$A$4:$F$57,MATCH("処遇改善加算Ⅳ",【参考】数式用!$C$3:$F$3,0)+2,0),0),0)*AA21*0.5,0), "")</f>
        <v/>
      </c>
      <c r="AF21" s="318"/>
      <c r="AG21" s="319"/>
      <c r="AH21" s="319"/>
      <c r="AI21" s="318"/>
      <c r="AJ21" s="320"/>
      <c r="AK21" s="326"/>
      <c r="AL21" s="324" t="str">
        <f t="shared" si="0"/>
        <v/>
      </c>
      <c r="AM21" s="325" t="str">
        <f t="shared" si="20"/>
        <v/>
      </c>
      <c r="AN21" s="255"/>
      <c r="AO21" s="557" t="str">
        <f>IFERROR(VLOOKUP(K21,【参考】数式用!$A$2:$N$57,14,FALSE),"")</f>
        <v/>
      </c>
      <c r="AP21" s="557" t="str">
        <f t="shared" si="1"/>
        <v/>
      </c>
      <c r="AQ21" s="561" t="str">
        <f t="shared" si="2"/>
        <v/>
      </c>
      <c r="AR21" s="540" t="str">
        <f t="shared" si="3"/>
        <v>入力済</v>
      </c>
      <c r="AS21" s="578" t="str">
        <f t="shared" si="12"/>
        <v/>
      </c>
      <c r="AT21" s="540" t="str">
        <f t="shared" si="4"/>
        <v>入力済</v>
      </c>
      <c r="AU21" s="540" t="str">
        <f t="shared" si="13"/>
        <v/>
      </c>
      <c r="AV21" s="540" t="str">
        <f t="shared" si="5"/>
        <v/>
      </c>
      <c r="AW21" s="557" t="str">
        <f t="shared" si="6"/>
        <v/>
      </c>
      <c r="AX21" s="578" t="str">
        <f t="shared" si="14"/>
        <v/>
      </c>
      <c r="AY21" s="540" t="str">
        <f>IFERROR(VLOOKUP(K21,【参考】数式用!$AR$5:$AS$39,2, FALSE), "")</f>
        <v/>
      </c>
      <c r="AZ21" s="557" t="str">
        <f t="shared" si="15"/>
        <v/>
      </c>
      <c r="BA21" s="560" t="str">
        <f t="shared" si="7"/>
        <v>入力済</v>
      </c>
      <c r="BB21" s="540" t="str">
        <f>IFERROR(VLOOKUP(K21,【参考】数式用!$AX$3:$AY$59, 2, FALSE), "")</f>
        <v/>
      </c>
      <c r="BC21" s="578" t="str">
        <f t="shared" si="16"/>
        <v/>
      </c>
      <c r="BD21" s="560" t="str">
        <f t="shared" si="8"/>
        <v>入力済</v>
      </c>
      <c r="BE21" s="577" t="str">
        <f t="shared" si="17"/>
        <v/>
      </c>
      <c r="BF21" s="560" t="str">
        <f t="shared" si="9"/>
        <v/>
      </c>
      <c r="BG21" s="612"/>
      <c r="BH21" s="593" t="str">
        <f t="shared" si="18"/>
        <v/>
      </c>
      <c r="BI21" s="616" t="str">
        <f>IF(BH21="Ⅱロ有り",ROUNDDOWN(L21*VLOOKUP(K21,【参考】数式用!$A$4:$J$42,10,FALSE)*AA21,0),"")</f>
        <v/>
      </c>
      <c r="BJ21" s="616" t="str">
        <f>IF(BH21="Ⅱロなし",ROUNDDOWN(L21*VLOOKUP(K21,【参考】数式用!$A$4:$J$42,8,FALSE)*AA21,0),"")</f>
        <v/>
      </c>
    </row>
    <row r="22" spans="1:69" s="257" customFormat="1" ht="109.9" customHeight="1" thickBot="1">
      <c r="A22" s="303">
        <v>9</v>
      </c>
      <c r="B22" s="956" t="str">
        <f>IF(基本情報入力シート!B44="","",基本情報入力シート!B44)</f>
        <v/>
      </c>
      <c r="C22" s="957"/>
      <c r="D22" s="957"/>
      <c r="E22" s="957"/>
      <c r="F22" s="958"/>
      <c r="G22" s="304" t="str">
        <f>IF(基本情報入力シート!L44="", "", 基本情報入力シート!L44)</f>
        <v/>
      </c>
      <c r="H22" s="304" t="str">
        <f>IF(基本情報入力シート!Q44="", "", 基本情報入力シート!Q44)</f>
        <v/>
      </c>
      <c r="I22" s="304" t="str">
        <f>IF(基本情報入力シート!V44="", "", 基本情報入力シート!V44)</f>
        <v/>
      </c>
      <c r="J22" s="304" t="str">
        <f>IF(基本情報入力シート!W44="", "", 基本情報入力シート!W44)</f>
        <v/>
      </c>
      <c r="K22" s="304" t="str">
        <f>IF(基本情報入力シート!Z44="", "", 基本情報入力シート!Z44)</f>
        <v/>
      </c>
      <c r="L22" s="558" t="str">
        <f>IF(基本情報入力シート!AF44=0, "",基本情報入力シート!AF44)</f>
        <v/>
      </c>
      <c r="M22" s="588"/>
      <c r="N22" s="522" t="str">
        <f>IFERROR(VLOOKUP(K22,【参考】数式用!$A$2:$F$57,MATCH(M22,【参考】数式用!$C$3:$F$3,0)+2,0),"")</f>
        <v/>
      </c>
      <c r="O22" s="511"/>
      <c r="P22" s="555" t="str">
        <f>IFERROR(VLOOKUP(K22,【参考】数式用!$A$2:$F$57,MATCH(O22,【参考】数式用!$C$3:$F$3,0)+2,0),"")</f>
        <v/>
      </c>
      <c r="Q22" s="310" t="s">
        <v>118</v>
      </c>
      <c r="R22" s="308"/>
      <c r="S22" s="309" t="s">
        <v>183</v>
      </c>
      <c r="T22" s="308"/>
      <c r="U22" s="309" t="s">
        <v>184</v>
      </c>
      <c r="V22" s="308"/>
      <c r="W22" s="309" t="s">
        <v>183</v>
      </c>
      <c r="X22" s="308"/>
      <c r="Y22" s="309" t="s">
        <v>185</v>
      </c>
      <c r="Z22" s="309" t="s">
        <v>186</v>
      </c>
      <c r="AA22" s="309" t="str">
        <f t="shared" si="21"/>
        <v/>
      </c>
      <c r="AB22" s="305" t="s">
        <v>187</v>
      </c>
      <c r="AC22" s="306" t="str">
        <f t="shared" si="10"/>
        <v/>
      </c>
      <c r="AD22" s="515" t="str">
        <f t="shared" si="11"/>
        <v/>
      </c>
      <c r="AE22" s="307" t="str">
        <f>IFERROR(ROUNDDOWN(ROUNDDOWN(ROUND(L22*VLOOKUP(K22,【参考】数式用!$A$4:$F$57,MATCH("処遇改善加算Ⅳ",【参考】数式用!$C$3:$F$3,0)+2,0),0),0)*AA22*0.5,0), "")</f>
        <v/>
      </c>
      <c r="AF22" s="318"/>
      <c r="AG22" s="319"/>
      <c r="AH22" s="319"/>
      <c r="AI22" s="318"/>
      <c r="AJ22" s="320"/>
      <c r="AK22" s="326"/>
      <c r="AL22" s="324" t="str">
        <f t="shared" si="0"/>
        <v/>
      </c>
      <c r="AM22" s="325" t="str">
        <f t="shared" si="20"/>
        <v/>
      </c>
      <c r="AN22" s="255"/>
      <c r="AO22" s="557" t="str">
        <f>IFERROR(VLOOKUP(K22,【参考】数式用!$A$2:$N$57,14,FALSE),"")</f>
        <v/>
      </c>
      <c r="AP22" s="557" t="str">
        <f t="shared" si="1"/>
        <v/>
      </c>
      <c r="AQ22" s="561" t="str">
        <f t="shared" si="2"/>
        <v/>
      </c>
      <c r="AR22" s="540" t="str">
        <f t="shared" si="3"/>
        <v>入力済</v>
      </c>
      <c r="AS22" s="578" t="str">
        <f t="shared" si="12"/>
        <v/>
      </c>
      <c r="AT22" s="540" t="str">
        <f t="shared" si="4"/>
        <v>入力済</v>
      </c>
      <c r="AU22" s="540" t="str">
        <f t="shared" si="13"/>
        <v/>
      </c>
      <c r="AV22" s="540" t="str">
        <f t="shared" si="5"/>
        <v/>
      </c>
      <c r="AW22" s="557" t="str">
        <f t="shared" si="6"/>
        <v/>
      </c>
      <c r="AX22" s="578" t="str">
        <f t="shared" si="14"/>
        <v/>
      </c>
      <c r="AY22" s="540" t="str">
        <f>IFERROR(VLOOKUP(K22,【参考】数式用!$AR$5:$AS$39,2, FALSE), "")</f>
        <v/>
      </c>
      <c r="AZ22" s="557" t="str">
        <f t="shared" si="15"/>
        <v/>
      </c>
      <c r="BA22" s="560" t="str">
        <f t="shared" si="7"/>
        <v>入力済</v>
      </c>
      <c r="BB22" s="540" t="str">
        <f>IFERROR(VLOOKUP(K22,【参考】数式用!$AX$3:$AY$59, 2, FALSE), "")</f>
        <v/>
      </c>
      <c r="BC22" s="578" t="str">
        <f t="shared" si="16"/>
        <v/>
      </c>
      <c r="BD22" s="560" t="str">
        <f t="shared" si="8"/>
        <v>入力済</v>
      </c>
      <c r="BE22" s="577" t="str">
        <f t="shared" si="17"/>
        <v/>
      </c>
      <c r="BF22" s="560" t="str">
        <f t="shared" si="9"/>
        <v/>
      </c>
      <c r="BG22" s="612"/>
      <c r="BH22" s="593" t="str">
        <f t="shared" si="18"/>
        <v/>
      </c>
      <c r="BI22" s="616" t="str">
        <f>IF(BH22="Ⅱロ有り",ROUNDDOWN(L22*VLOOKUP(K22,【参考】数式用!$A$4:$J$42,10,FALSE)*AA22,0),"")</f>
        <v/>
      </c>
      <c r="BJ22" s="616" t="str">
        <f>IF(BH22="Ⅱロなし",ROUNDDOWN(L22*VLOOKUP(K22,【参考】数式用!$A$4:$J$42,8,FALSE)*AA22,0),"")</f>
        <v/>
      </c>
    </row>
    <row r="23" spans="1:69" s="257" customFormat="1" ht="109.9" customHeight="1" thickBot="1">
      <c r="A23" s="303">
        <v>10</v>
      </c>
      <c r="B23" s="956" t="str">
        <f>IF(基本情報入力シート!B45="","",基本情報入力シート!B45)</f>
        <v/>
      </c>
      <c r="C23" s="957"/>
      <c r="D23" s="957"/>
      <c r="E23" s="957"/>
      <c r="F23" s="958"/>
      <c r="G23" s="304" t="str">
        <f>IF(基本情報入力シート!L45="", "", 基本情報入力シート!L45)</f>
        <v/>
      </c>
      <c r="H23" s="304" t="str">
        <f>IF(基本情報入力シート!Q45="", "", 基本情報入力シート!Q45)</f>
        <v/>
      </c>
      <c r="I23" s="304" t="str">
        <f>IF(基本情報入力シート!V45="", "", 基本情報入力シート!V45)</f>
        <v/>
      </c>
      <c r="J23" s="304" t="str">
        <f>IF(基本情報入力シート!W45="", "", 基本情報入力シート!W45)</f>
        <v/>
      </c>
      <c r="K23" s="304" t="str">
        <f>IF(基本情報入力シート!Z45="", "", 基本情報入力シート!Z45)</f>
        <v/>
      </c>
      <c r="L23" s="558" t="str">
        <f>IF(基本情報入力シート!AF45=0, "",基本情報入力シート!AF45)</f>
        <v/>
      </c>
      <c r="M23" s="588"/>
      <c r="N23" s="522" t="str">
        <f>IFERROR(VLOOKUP(K23,【参考】数式用!$A$2:$F$57,MATCH(M23,【参考】数式用!$C$3:$F$3,0)+2,0),"")</f>
        <v/>
      </c>
      <c r="O23" s="511"/>
      <c r="P23" s="555" t="str">
        <f>IFERROR(VLOOKUP(K23,【参考】数式用!$A$2:$F$57,MATCH(O23,【参考】数式用!$C$3:$F$3,0)+2,0),"")</f>
        <v/>
      </c>
      <c r="Q23" s="310" t="s">
        <v>118</v>
      </c>
      <c r="R23" s="308"/>
      <c r="S23" s="309" t="s">
        <v>183</v>
      </c>
      <c r="T23" s="308"/>
      <c r="U23" s="309" t="s">
        <v>184</v>
      </c>
      <c r="V23" s="308"/>
      <c r="W23" s="309" t="s">
        <v>183</v>
      </c>
      <c r="X23" s="308"/>
      <c r="Y23" s="309" t="s">
        <v>185</v>
      </c>
      <c r="Z23" s="309" t="s">
        <v>186</v>
      </c>
      <c r="AA23" s="309" t="str">
        <f t="shared" si="21"/>
        <v/>
      </c>
      <c r="AB23" s="305" t="s">
        <v>187</v>
      </c>
      <c r="AC23" s="306" t="str">
        <f t="shared" si="10"/>
        <v/>
      </c>
      <c r="AD23" s="515" t="str">
        <f t="shared" si="11"/>
        <v/>
      </c>
      <c r="AE23" s="307" t="str">
        <f>IFERROR(ROUNDDOWN(ROUNDDOWN(ROUND(L23*VLOOKUP(K23,【参考】数式用!$A$4:$F$57,MATCH("処遇改善加算Ⅳ",【参考】数式用!$C$3:$F$3,0)+2,0),0),0)*AA23*0.5,0), "")</f>
        <v/>
      </c>
      <c r="AF23" s="318"/>
      <c r="AG23" s="319"/>
      <c r="AH23" s="319"/>
      <c r="AI23" s="318"/>
      <c r="AJ23" s="320"/>
      <c r="AK23" s="326"/>
      <c r="AL23" s="324" t="str">
        <f t="shared" si="0"/>
        <v/>
      </c>
      <c r="AM23" s="325" t="str">
        <f t="shared" si="20"/>
        <v/>
      </c>
      <c r="AN23" s="255"/>
      <c r="AO23" s="557" t="str">
        <f>IFERROR(VLOOKUP(K23,【参考】数式用!$A$2:$N$57,14,FALSE),"")</f>
        <v/>
      </c>
      <c r="AP23" s="557" t="str">
        <f t="shared" si="1"/>
        <v/>
      </c>
      <c r="AQ23" s="561" t="str">
        <f t="shared" si="2"/>
        <v/>
      </c>
      <c r="AR23" s="540" t="str">
        <f t="shared" si="3"/>
        <v>入力済</v>
      </c>
      <c r="AS23" s="578" t="str">
        <f t="shared" si="12"/>
        <v/>
      </c>
      <c r="AT23" s="540" t="str">
        <f t="shared" si="4"/>
        <v>入力済</v>
      </c>
      <c r="AU23" s="540" t="str">
        <f t="shared" si="13"/>
        <v/>
      </c>
      <c r="AV23" s="540" t="str">
        <f t="shared" si="5"/>
        <v/>
      </c>
      <c r="AW23" s="557" t="str">
        <f t="shared" si="6"/>
        <v/>
      </c>
      <c r="AX23" s="578" t="str">
        <f t="shared" si="14"/>
        <v/>
      </c>
      <c r="AY23" s="540" t="str">
        <f>IFERROR(VLOOKUP(K23,【参考】数式用!$AR$5:$AS$39,2, FALSE), "")</f>
        <v/>
      </c>
      <c r="AZ23" s="557" t="str">
        <f t="shared" si="15"/>
        <v/>
      </c>
      <c r="BA23" s="560" t="str">
        <f t="shared" si="7"/>
        <v>入力済</v>
      </c>
      <c r="BB23" s="540" t="str">
        <f>IFERROR(VLOOKUP(K23,【参考】数式用!$AX$3:$AY$59, 2, FALSE), "")</f>
        <v/>
      </c>
      <c r="BC23" s="578" t="str">
        <f t="shared" si="16"/>
        <v/>
      </c>
      <c r="BD23" s="560" t="str">
        <f t="shared" si="8"/>
        <v>入力済</v>
      </c>
      <c r="BE23" s="577" t="str">
        <f t="shared" si="17"/>
        <v/>
      </c>
      <c r="BF23" s="560" t="str">
        <f t="shared" si="9"/>
        <v/>
      </c>
      <c r="BG23" s="612"/>
      <c r="BH23" s="593" t="str">
        <f t="shared" si="18"/>
        <v/>
      </c>
      <c r="BI23" s="616" t="str">
        <f>IF(BH23="Ⅱロ有り",ROUNDDOWN(L23*VLOOKUP(K23,【参考】数式用!$A$4:$J$42,10,FALSE)*AA23,0),"")</f>
        <v/>
      </c>
      <c r="BJ23" s="616" t="str">
        <f>IF(BH23="Ⅱロなし",ROUNDDOWN(L23*VLOOKUP(K23,【参考】数式用!$A$4:$J$42,8,FALSE)*AA23,0),"")</f>
        <v/>
      </c>
    </row>
    <row r="24" spans="1:69" s="257" customFormat="1" ht="109.9" customHeight="1" thickBot="1">
      <c r="A24" s="303">
        <v>11</v>
      </c>
      <c r="B24" s="956" t="str">
        <f>IF(基本情報入力シート!B46="","",基本情報入力シート!B46)</f>
        <v/>
      </c>
      <c r="C24" s="957"/>
      <c r="D24" s="957"/>
      <c r="E24" s="957"/>
      <c r="F24" s="958"/>
      <c r="G24" s="304" t="str">
        <f>IF(基本情報入力シート!L46="", "", 基本情報入力シート!L46)</f>
        <v/>
      </c>
      <c r="H24" s="304" t="str">
        <f>IF(基本情報入力シート!Q46="", "", 基本情報入力シート!Q46)</f>
        <v/>
      </c>
      <c r="I24" s="304" t="str">
        <f>IF(基本情報入力シート!V46="", "", 基本情報入力シート!V46)</f>
        <v/>
      </c>
      <c r="J24" s="304" t="str">
        <f>IF(基本情報入力シート!W46="", "", 基本情報入力シート!W46)</f>
        <v/>
      </c>
      <c r="K24" s="304" t="str">
        <f>IF(基本情報入力シート!Z46="", "", 基本情報入力シート!Z46)</f>
        <v/>
      </c>
      <c r="L24" s="558" t="str">
        <f>IF(基本情報入力シート!AF46=0, "",基本情報入力シート!AF46)</f>
        <v/>
      </c>
      <c r="M24" s="588"/>
      <c r="N24" s="522" t="str">
        <f>IFERROR(VLOOKUP(K24,【参考】数式用!$A$2:$F$57,MATCH(M24,【参考】数式用!$C$3:$F$3,0)+2,0),"")</f>
        <v/>
      </c>
      <c r="O24" s="511"/>
      <c r="P24" s="555" t="str">
        <f>IFERROR(VLOOKUP(K24,【参考】数式用!$A$2:$F$57,MATCH(O24,【参考】数式用!$C$3:$F$3,0)+2,0),"")</f>
        <v/>
      </c>
      <c r="Q24" s="310" t="s">
        <v>118</v>
      </c>
      <c r="R24" s="308"/>
      <c r="S24" s="309" t="s">
        <v>183</v>
      </c>
      <c r="T24" s="308"/>
      <c r="U24" s="309" t="s">
        <v>184</v>
      </c>
      <c r="V24" s="308"/>
      <c r="W24" s="309" t="s">
        <v>183</v>
      </c>
      <c r="X24" s="308"/>
      <c r="Y24" s="309" t="s">
        <v>185</v>
      </c>
      <c r="Z24" s="309" t="s">
        <v>186</v>
      </c>
      <c r="AA24" s="309" t="str">
        <f t="shared" si="21"/>
        <v/>
      </c>
      <c r="AB24" s="305" t="s">
        <v>187</v>
      </c>
      <c r="AC24" s="306" t="str">
        <f t="shared" si="10"/>
        <v/>
      </c>
      <c r="AD24" s="515" t="str">
        <f t="shared" si="11"/>
        <v/>
      </c>
      <c r="AE24" s="307" t="str">
        <f>IFERROR(ROUNDDOWN(ROUNDDOWN(ROUND(L24*VLOOKUP(K24,【参考】数式用!$A$4:$F$57,MATCH("処遇改善加算Ⅳ",【参考】数式用!$C$3:$F$3,0)+2,0),0),0)*AA24*0.5,0), "")</f>
        <v/>
      </c>
      <c r="AF24" s="318"/>
      <c r="AG24" s="319"/>
      <c r="AH24" s="319"/>
      <c r="AI24" s="318"/>
      <c r="AJ24" s="320"/>
      <c r="AK24" s="326"/>
      <c r="AL24" s="324" t="str">
        <f t="shared" si="0"/>
        <v/>
      </c>
      <c r="AM24" s="325" t="str">
        <f t="shared" si="20"/>
        <v/>
      </c>
      <c r="AN24" s="255"/>
      <c r="AO24" s="557" t="str">
        <f>IFERROR(VLOOKUP(K24,【参考】数式用!$A$2:$N$57,14,FALSE),"")</f>
        <v/>
      </c>
      <c r="AP24" s="557" t="str">
        <f t="shared" si="1"/>
        <v/>
      </c>
      <c r="AQ24" s="561" t="str">
        <f t="shared" si="2"/>
        <v/>
      </c>
      <c r="AR24" s="540" t="str">
        <f t="shared" si="3"/>
        <v>入力済</v>
      </c>
      <c r="AS24" s="578" t="str">
        <f t="shared" si="12"/>
        <v/>
      </c>
      <c r="AT24" s="540" t="str">
        <f t="shared" si="4"/>
        <v>入力済</v>
      </c>
      <c r="AU24" s="540" t="str">
        <f t="shared" si="13"/>
        <v/>
      </c>
      <c r="AV24" s="540" t="str">
        <f t="shared" si="5"/>
        <v/>
      </c>
      <c r="AW24" s="557" t="str">
        <f t="shared" si="6"/>
        <v/>
      </c>
      <c r="AX24" s="578" t="str">
        <f t="shared" si="14"/>
        <v/>
      </c>
      <c r="AY24" s="540" t="str">
        <f>IFERROR(VLOOKUP(K24,【参考】数式用!$AR$5:$AS$39,2, FALSE), "")</f>
        <v/>
      </c>
      <c r="AZ24" s="557" t="str">
        <f t="shared" si="15"/>
        <v/>
      </c>
      <c r="BA24" s="560" t="str">
        <f t="shared" si="7"/>
        <v>入力済</v>
      </c>
      <c r="BB24" s="540" t="str">
        <f>IFERROR(VLOOKUP(K24,【参考】数式用!$AX$3:$AY$59, 2, FALSE), "")</f>
        <v/>
      </c>
      <c r="BC24" s="578" t="str">
        <f t="shared" si="16"/>
        <v/>
      </c>
      <c r="BD24" s="560" t="str">
        <f t="shared" si="8"/>
        <v>入力済</v>
      </c>
      <c r="BE24" s="577" t="str">
        <f t="shared" si="17"/>
        <v/>
      </c>
      <c r="BF24" s="560" t="str">
        <f t="shared" si="9"/>
        <v/>
      </c>
      <c r="BG24" s="612"/>
      <c r="BH24" s="593" t="str">
        <f t="shared" si="18"/>
        <v/>
      </c>
      <c r="BI24" s="616" t="str">
        <f>IF(BH24="Ⅱロ有り",ROUNDDOWN(L24*VLOOKUP(K24,【参考】数式用!$A$4:$J$42,10,FALSE)*AA24,0),"")</f>
        <v/>
      </c>
      <c r="BJ24" s="616" t="str">
        <f>IF(BH24="Ⅱロなし",ROUNDDOWN(L24*VLOOKUP(K24,【参考】数式用!$A$4:$J$42,8,FALSE)*AA24,0),"")</f>
        <v/>
      </c>
    </row>
    <row r="25" spans="1:69" s="257" customFormat="1" ht="109.9" customHeight="1" thickBot="1">
      <c r="A25" s="303">
        <v>12</v>
      </c>
      <c r="B25" s="956" t="str">
        <f>IF(基本情報入力シート!B47="","",基本情報入力シート!B47)</f>
        <v/>
      </c>
      <c r="C25" s="957"/>
      <c r="D25" s="957"/>
      <c r="E25" s="957"/>
      <c r="F25" s="958"/>
      <c r="G25" s="304" t="str">
        <f>IF(基本情報入力シート!L47="", "", 基本情報入力シート!L47)</f>
        <v/>
      </c>
      <c r="H25" s="304" t="str">
        <f>IF(基本情報入力シート!Q47="", "", 基本情報入力シート!Q47)</f>
        <v/>
      </c>
      <c r="I25" s="304" t="str">
        <f>IF(基本情報入力シート!V47="", "", 基本情報入力シート!V47)</f>
        <v/>
      </c>
      <c r="J25" s="304" t="str">
        <f>IF(基本情報入力シート!W47="", "", 基本情報入力シート!W47)</f>
        <v/>
      </c>
      <c r="K25" s="304" t="str">
        <f>IF(基本情報入力シート!Z47="", "", 基本情報入力シート!Z47)</f>
        <v/>
      </c>
      <c r="L25" s="558" t="str">
        <f>IF(基本情報入力シート!AF47=0, "",基本情報入力シート!AF47)</f>
        <v/>
      </c>
      <c r="M25" s="588"/>
      <c r="N25" s="522" t="str">
        <f>IFERROR(VLOOKUP(K25,【参考】数式用!$A$2:$F$57,MATCH(M25,【参考】数式用!$C$3:$F$3,0)+2,0),"")</f>
        <v/>
      </c>
      <c r="O25" s="511"/>
      <c r="P25" s="555" t="str">
        <f>IFERROR(VLOOKUP(K25,【参考】数式用!$A$2:$F$57,MATCH(O25,【参考】数式用!$C$3:$F$3,0)+2,0),"")</f>
        <v/>
      </c>
      <c r="Q25" s="310" t="s">
        <v>118</v>
      </c>
      <c r="R25" s="308"/>
      <c r="S25" s="309" t="s">
        <v>183</v>
      </c>
      <c r="T25" s="308"/>
      <c r="U25" s="309" t="s">
        <v>184</v>
      </c>
      <c r="V25" s="308"/>
      <c r="W25" s="309" t="s">
        <v>183</v>
      </c>
      <c r="X25" s="308"/>
      <c r="Y25" s="309" t="s">
        <v>185</v>
      </c>
      <c r="Z25" s="309" t="s">
        <v>186</v>
      </c>
      <c r="AA25" s="309" t="str">
        <f t="shared" si="21"/>
        <v/>
      </c>
      <c r="AB25" s="305" t="s">
        <v>187</v>
      </c>
      <c r="AC25" s="306" t="str">
        <f t="shared" si="10"/>
        <v/>
      </c>
      <c r="AD25" s="515" t="str">
        <f t="shared" si="11"/>
        <v/>
      </c>
      <c r="AE25" s="307" t="str">
        <f>IFERROR(ROUNDDOWN(ROUNDDOWN(ROUND(L25*VLOOKUP(K25,【参考】数式用!$A$4:$F$57,MATCH("処遇改善加算Ⅳ",【参考】数式用!$C$3:$F$3,0)+2,0),0),0)*AA25*0.5,0), "")</f>
        <v/>
      </c>
      <c r="AF25" s="318"/>
      <c r="AG25" s="319"/>
      <c r="AH25" s="319"/>
      <c r="AI25" s="318"/>
      <c r="AJ25" s="320"/>
      <c r="AK25" s="326"/>
      <c r="AL25" s="324" t="str">
        <f t="shared" si="0"/>
        <v/>
      </c>
      <c r="AM25" s="325" t="str">
        <f t="shared" si="20"/>
        <v/>
      </c>
      <c r="AN25" s="255"/>
      <c r="AO25" s="557" t="str">
        <f>IFERROR(VLOOKUP(K25,【参考】数式用!$A$2:$N$57,14,FALSE),"")</f>
        <v/>
      </c>
      <c r="AP25" s="557" t="str">
        <f t="shared" si="1"/>
        <v/>
      </c>
      <c r="AQ25" s="561" t="str">
        <f t="shared" si="2"/>
        <v/>
      </c>
      <c r="AR25" s="540" t="str">
        <f t="shared" si="3"/>
        <v>入力済</v>
      </c>
      <c r="AS25" s="578" t="str">
        <f t="shared" si="12"/>
        <v/>
      </c>
      <c r="AT25" s="540" t="str">
        <f t="shared" si="4"/>
        <v>入力済</v>
      </c>
      <c r="AU25" s="540" t="str">
        <f t="shared" si="13"/>
        <v/>
      </c>
      <c r="AV25" s="540" t="str">
        <f t="shared" si="5"/>
        <v/>
      </c>
      <c r="AW25" s="557" t="str">
        <f t="shared" si="6"/>
        <v/>
      </c>
      <c r="AX25" s="578" t="str">
        <f t="shared" si="14"/>
        <v/>
      </c>
      <c r="AY25" s="540" t="str">
        <f>IFERROR(VLOOKUP(K25,【参考】数式用!$AR$5:$AS$39,2, FALSE), "")</f>
        <v/>
      </c>
      <c r="AZ25" s="557" t="str">
        <f t="shared" si="15"/>
        <v/>
      </c>
      <c r="BA25" s="560" t="str">
        <f t="shared" si="7"/>
        <v>入力済</v>
      </c>
      <c r="BB25" s="540" t="str">
        <f>IFERROR(VLOOKUP(K25,【参考】数式用!$AX$3:$AY$59, 2, FALSE), "")</f>
        <v/>
      </c>
      <c r="BC25" s="578" t="str">
        <f t="shared" si="16"/>
        <v/>
      </c>
      <c r="BD25" s="560" t="str">
        <f t="shared" si="8"/>
        <v>入力済</v>
      </c>
      <c r="BE25" s="577" t="str">
        <f t="shared" si="17"/>
        <v/>
      </c>
      <c r="BF25" s="560" t="str">
        <f t="shared" si="9"/>
        <v/>
      </c>
      <c r="BG25" s="612"/>
      <c r="BH25" s="593" t="str">
        <f t="shared" si="18"/>
        <v/>
      </c>
      <c r="BI25" s="616" t="str">
        <f>IF(BH25="Ⅱロ有り",ROUNDDOWN(L25*VLOOKUP(K25,【参考】数式用!$A$4:$J$42,10,FALSE)*AA25,0),"")</f>
        <v/>
      </c>
      <c r="BJ25" s="616" t="str">
        <f>IF(BH25="Ⅱロなし",ROUNDDOWN(L25*VLOOKUP(K25,【参考】数式用!$A$4:$J$42,8,FALSE)*AA25,0),"")</f>
        <v/>
      </c>
    </row>
    <row r="26" spans="1:69" s="257" customFormat="1" ht="109.9" customHeight="1" thickBot="1">
      <c r="A26" s="303">
        <v>13</v>
      </c>
      <c r="B26" s="956" t="str">
        <f>IF(基本情報入力シート!B48="","",基本情報入力シート!B48)</f>
        <v/>
      </c>
      <c r="C26" s="957"/>
      <c r="D26" s="957"/>
      <c r="E26" s="957"/>
      <c r="F26" s="958"/>
      <c r="G26" s="304" t="str">
        <f>IF(基本情報入力シート!L48="", "", 基本情報入力シート!L48)</f>
        <v/>
      </c>
      <c r="H26" s="304" t="str">
        <f>IF(基本情報入力シート!Q48="", "", 基本情報入力シート!Q48)</f>
        <v/>
      </c>
      <c r="I26" s="304" t="str">
        <f>IF(基本情報入力シート!V48="", "", 基本情報入力シート!V48)</f>
        <v/>
      </c>
      <c r="J26" s="304" t="str">
        <f>IF(基本情報入力シート!W48="", "", 基本情報入力シート!W48)</f>
        <v/>
      </c>
      <c r="K26" s="304" t="str">
        <f>IF(基本情報入力シート!Z48="", "", 基本情報入力シート!Z48)</f>
        <v/>
      </c>
      <c r="L26" s="558" t="str">
        <f>IF(基本情報入力シート!AF48=0, "",基本情報入力シート!AF48)</f>
        <v/>
      </c>
      <c r="M26" s="588"/>
      <c r="N26" s="522" t="str">
        <f>IFERROR(VLOOKUP(K26,【参考】数式用!$A$2:$F$57,MATCH(M26,【参考】数式用!$C$3:$F$3,0)+2,0),"")</f>
        <v/>
      </c>
      <c r="O26" s="511"/>
      <c r="P26" s="555" t="str">
        <f>IFERROR(VLOOKUP(K26,【参考】数式用!$A$2:$F$57,MATCH(O26,【参考】数式用!$C$3:$F$3,0)+2,0),"")</f>
        <v/>
      </c>
      <c r="Q26" s="310" t="s">
        <v>118</v>
      </c>
      <c r="R26" s="308"/>
      <c r="S26" s="309" t="s">
        <v>183</v>
      </c>
      <c r="T26" s="308"/>
      <c r="U26" s="309" t="s">
        <v>184</v>
      </c>
      <c r="V26" s="308"/>
      <c r="W26" s="309" t="s">
        <v>183</v>
      </c>
      <c r="X26" s="308"/>
      <c r="Y26" s="309" t="s">
        <v>185</v>
      </c>
      <c r="Z26" s="309" t="s">
        <v>186</v>
      </c>
      <c r="AA26" s="309" t="str">
        <f t="shared" si="21"/>
        <v/>
      </c>
      <c r="AB26" s="305" t="s">
        <v>187</v>
      </c>
      <c r="AC26" s="306" t="str">
        <f t="shared" si="10"/>
        <v/>
      </c>
      <c r="AD26" s="515" t="str">
        <f t="shared" si="11"/>
        <v/>
      </c>
      <c r="AE26" s="307" t="str">
        <f>IFERROR(ROUNDDOWN(ROUNDDOWN(ROUND(L26*VLOOKUP(K26,【参考】数式用!$A$4:$F$57,MATCH("処遇改善加算Ⅳ",【参考】数式用!$C$3:$F$3,0)+2,0),0),0)*AA26*0.5,0), "")</f>
        <v/>
      </c>
      <c r="AF26" s="318"/>
      <c r="AG26" s="319"/>
      <c r="AH26" s="319"/>
      <c r="AI26" s="318"/>
      <c r="AJ26" s="320"/>
      <c r="AK26" s="326"/>
      <c r="AL26" s="324" t="str">
        <f t="shared" si="0"/>
        <v/>
      </c>
      <c r="AM26" s="325" t="str">
        <f t="shared" si="20"/>
        <v/>
      </c>
      <c r="AN26" s="255"/>
      <c r="AO26" s="557" t="str">
        <f>IFERROR(VLOOKUP(K26,【参考】数式用!$A$2:$N$57,14,FALSE),"")</f>
        <v/>
      </c>
      <c r="AP26" s="557" t="str">
        <f t="shared" si="1"/>
        <v/>
      </c>
      <c r="AQ26" s="561" t="str">
        <f t="shared" si="2"/>
        <v/>
      </c>
      <c r="AR26" s="540" t="str">
        <f t="shared" si="3"/>
        <v>入力済</v>
      </c>
      <c r="AS26" s="578" t="str">
        <f t="shared" si="12"/>
        <v/>
      </c>
      <c r="AT26" s="540" t="str">
        <f t="shared" si="4"/>
        <v>入力済</v>
      </c>
      <c r="AU26" s="540" t="str">
        <f t="shared" si="13"/>
        <v/>
      </c>
      <c r="AV26" s="540" t="str">
        <f t="shared" si="5"/>
        <v/>
      </c>
      <c r="AW26" s="557" t="str">
        <f t="shared" si="6"/>
        <v/>
      </c>
      <c r="AX26" s="578" t="str">
        <f t="shared" si="14"/>
        <v/>
      </c>
      <c r="AY26" s="540" t="str">
        <f>IFERROR(VLOOKUP(K26,【参考】数式用!$AR$5:$AS$39,2, FALSE), "")</f>
        <v/>
      </c>
      <c r="AZ26" s="557" t="str">
        <f t="shared" si="15"/>
        <v/>
      </c>
      <c r="BA26" s="560" t="str">
        <f t="shared" si="7"/>
        <v>入力済</v>
      </c>
      <c r="BB26" s="540" t="str">
        <f>IFERROR(VLOOKUP(K26,【参考】数式用!$AX$3:$AY$59, 2, FALSE), "")</f>
        <v/>
      </c>
      <c r="BC26" s="578" t="str">
        <f t="shared" si="16"/>
        <v/>
      </c>
      <c r="BD26" s="560" t="str">
        <f t="shared" si="8"/>
        <v>入力済</v>
      </c>
      <c r="BE26" s="577" t="str">
        <f t="shared" si="17"/>
        <v/>
      </c>
      <c r="BF26" s="560" t="str">
        <f t="shared" si="9"/>
        <v/>
      </c>
      <c r="BG26" s="612"/>
      <c r="BH26" s="593" t="str">
        <f t="shared" si="18"/>
        <v/>
      </c>
      <c r="BI26" s="616" t="str">
        <f>IF(BH26="Ⅱロ有り",ROUNDDOWN(L26*VLOOKUP(K26,【参考】数式用!$A$4:$J$42,10,FALSE)*AA26,0),"")</f>
        <v/>
      </c>
      <c r="BJ26" s="616" t="str">
        <f>IF(BH26="Ⅱロなし",ROUNDDOWN(L26*VLOOKUP(K26,【参考】数式用!$A$4:$J$42,8,FALSE)*AA26,0),"")</f>
        <v/>
      </c>
    </row>
    <row r="27" spans="1:69" s="257" customFormat="1" ht="109.9" customHeight="1" thickBot="1">
      <c r="A27" s="303">
        <v>14</v>
      </c>
      <c r="B27" s="956" t="str">
        <f>IF(基本情報入力シート!B49="","",基本情報入力シート!B49)</f>
        <v/>
      </c>
      <c r="C27" s="957"/>
      <c r="D27" s="957"/>
      <c r="E27" s="957"/>
      <c r="F27" s="958"/>
      <c r="G27" s="304" t="str">
        <f>IF(基本情報入力シート!L49="", "", 基本情報入力シート!L49)</f>
        <v/>
      </c>
      <c r="H27" s="304" t="str">
        <f>IF(基本情報入力シート!Q49="", "", 基本情報入力シート!Q49)</f>
        <v/>
      </c>
      <c r="I27" s="304" t="str">
        <f>IF(基本情報入力シート!V49="", "", 基本情報入力シート!V49)</f>
        <v/>
      </c>
      <c r="J27" s="304" t="str">
        <f>IF(基本情報入力シート!W49="", "", 基本情報入力シート!W49)</f>
        <v/>
      </c>
      <c r="K27" s="304" t="str">
        <f>IF(基本情報入力シート!Z49="", "", 基本情報入力シート!Z49)</f>
        <v/>
      </c>
      <c r="L27" s="558" t="str">
        <f>IF(基本情報入力シート!AF49=0, "",基本情報入力シート!AF49)</f>
        <v/>
      </c>
      <c r="M27" s="588"/>
      <c r="N27" s="522" t="str">
        <f>IFERROR(VLOOKUP(K27,【参考】数式用!$A$2:$F$57,MATCH(M27,【参考】数式用!$C$3:$F$3,0)+2,0),"")</f>
        <v/>
      </c>
      <c r="O27" s="511"/>
      <c r="P27" s="555" t="str">
        <f>IFERROR(VLOOKUP(K27,【参考】数式用!$A$2:$F$57,MATCH(O27,【参考】数式用!$C$3:$F$3,0)+2,0),"")</f>
        <v/>
      </c>
      <c r="Q27" s="310" t="s">
        <v>118</v>
      </c>
      <c r="R27" s="308"/>
      <c r="S27" s="309" t="s">
        <v>183</v>
      </c>
      <c r="T27" s="308"/>
      <c r="U27" s="309" t="s">
        <v>184</v>
      </c>
      <c r="V27" s="308"/>
      <c r="W27" s="309" t="s">
        <v>183</v>
      </c>
      <c r="X27" s="308"/>
      <c r="Y27" s="309" t="s">
        <v>185</v>
      </c>
      <c r="Z27" s="309" t="s">
        <v>186</v>
      </c>
      <c r="AA27" s="309" t="str">
        <f t="shared" si="21"/>
        <v/>
      </c>
      <c r="AB27" s="305" t="s">
        <v>187</v>
      </c>
      <c r="AC27" s="306" t="str">
        <f t="shared" si="10"/>
        <v/>
      </c>
      <c r="AD27" s="515" t="str">
        <f t="shared" si="11"/>
        <v/>
      </c>
      <c r="AE27" s="307" t="str">
        <f>IFERROR(ROUNDDOWN(ROUNDDOWN(ROUND(L27*VLOOKUP(K27,【参考】数式用!$A$4:$F$57,MATCH("処遇改善加算Ⅳ",【参考】数式用!$C$3:$F$3,0)+2,0),0),0)*AA27*0.5,0), "")</f>
        <v/>
      </c>
      <c r="AF27" s="318"/>
      <c r="AG27" s="319"/>
      <c r="AH27" s="319"/>
      <c r="AI27" s="318"/>
      <c r="AJ27" s="320"/>
      <c r="AK27" s="326"/>
      <c r="AL27" s="324" t="str">
        <f t="shared" si="0"/>
        <v/>
      </c>
      <c r="AM27" s="325" t="str">
        <f t="shared" si="20"/>
        <v/>
      </c>
      <c r="AN27" s="255"/>
      <c r="AO27" s="557" t="str">
        <f>IFERROR(VLOOKUP(K27,【参考】数式用!$A$2:$N$57,14,FALSE),"")</f>
        <v/>
      </c>
      <c r="AP27" s="557" t="str">
        <f t="shared" si="1"/>
        <v/>
      </c>
      <c r="AQ27" s="561" t="str">
        <f t="shared" si="2"/>
        <v/>
      </c>
      <c r="AR27" s="540" t="str">
        <f t="shared" si="3"/>
        <v>入力済</v>
      </c>
      <c r="AS27" s="578" t="str">
        <f t="shared" si="12"/>
        <v/>
      </c>
      <c r="AT27" s="540" t="str">
        <f t="shared" si="4"/>
        <v>入力済</v>
      </c>
      <c r="AU27" s="540" t="str">
        <f t="shared" si="13"/>
        <v/>
      </c>
      <c r="AV27" s="540" t="str">
        <f t="shared" si="5"/>
        <v/>
      </c>
      <c r="AW27" s="557" t="str">
        <f t="shared" si="6"/>
        <v/>
      </c>
      <c r="AX27" s="578" t="str">
        <f t="shared" si="14"/>
        <v/>
      </c>
      <c r="AY27" s="540" t="str">
        <f>IFERROR(VLOOKUP(K27,【参考】数式用!$AR$5:$AS$39,2, FALSE), "")</f>
        <v/>
      </c>
      <c r="AZ27" s="557" t="str">
        <f t="shared" si="15"/>
        <v/>
      </c>
      <c r="BA27" s="560" t="str">
        <f t="shared" si="7"/>
        <v>入力済</v>
      </c>
      <c r="BB27" s="540" t="str">
        <f>IFERROR(VLOOKUP(K27,【参考】数式用!$AX$3:$AY$59, 2, FALSE), "")</f>
        <v/>
      </c>
      <c r="BC27" s="578" t="str">
        <f t="shared" si="16"/>
        <v/>
      </c>
      <c r="BD27" s="560" t="str">
        <f t="shared" si="8"/>
        <v>入力済</v>
      </c>
      <c r="BE27" s="577" t="str">
        <f t="shared" si="17"/>
        <v/>
      </c>
      <c r="BF27" s="560" t="str">
        <f t="shared" si="9"/>
        <v/>
      </c>
      <c r="BG27" s="612"/>
      <c r="BH27" s="593" t="str">
        <f t="shared" si="18"/>
        <v/>
      </c>
      <c r="BI27" s="616" t="str">
        <f>IF(BH27="Ⅱロ有り",ROUNDDOWN(L27*VLOOKUP(K27,【参考】数式用!$A$4:$J$42,10,FALSE)*AA27,0),"")</f>
        <v/>
      </c>
      <c r="BJ27" s="616" t="str">
        <f>IF(BH27="Ⅱロなし",ROUNDDOWN(L27*VLOOKUP(K27,【参考】数式用!$A$4:$J$42,8,FALSE)*AA27,0),"")</f>
        <v/>
      </c>
    </row>
    <row r="28" spans="1:69" s="257" customFormat="1" ht="109.9" customHeight="1" thickBot="1">
      <c r="A28" s="303">
        <v>15</v>
      </c>
      <c r="B28" s="956" t="str">
        <f>IF(基本情報入力シート!B50="","",基本情報入力シート!B50)</f>
        <v/>
      </c>
      <c r="C28" s="957"/>
      <c r="D28" s="957"/>
      <c r="E28" s="957"/>
      <c r="F28" s="958"/>
      <c r="G28" s="304" t="str">
        <f>IF(基本情報入力シート!L50="", "", 基本情報入力シート!L50)</f>
        <v/>
      </c>
      <c r="H28" s="304" t="str">
        <f>IF(基本情報入力シート!Q50="", "", 基本情報入力シート!Q50)</f>
        <v/>
      </c>
      <c r="I28" s="304" t="str">
        <f>IF(基本情報入力シート!V50="", "", 基本情報入力シート!V50)</f>
        <v/>
      </c>
      <c r="J28" s="304" t="str">
        <f>IF(基本情報入力シート!W50="", "", 基本情報入力シート!W50)</f>
        <v/>
      </c>
      <c r="K28" s="304" t="str">
        <f>IF(基本情報入力シート!Z50="", "", 基本情報入力シート!Z50)</f>
        <v/>
      </c>
      <c r="L28" s="558" t="str">
        <f>IF(基本情報入力シート!AF50=0, "",基本情報入力シート!AF50)</f>
        <v/>
      </c>
      <c r="M28" s="588"/>
      <c r="N28" s="522" t="str">
        <f>IFERROR(VLOOKUP(K28,【参考】数式用!$A$2:$F$57,MATCH(M28,【参考】数式用!$C$3:$F$3,0)+2,0),"")</f>
        <v/>
      </c>
      <c r="O28" s="511"/>
      <c r="P28" s="555" t="str">
        <f>IFERROR(VLOOKUP(K28,【参考】数式用!$A$2:$F$57,MATCH(O28,【参考】数式用!$C$3:$F$3,0)+2,0),"")</f>
        <v/>
      </c>
      <c r="Q28" s="310" t="s">
        <v>118</v>
      </c>
      <c r="R28" s="308"/>
      <c r="S28" s="309" t="s">
        <v>183</v>
      </c>
      <c r="T28" s="308"/>
      <c r="U28" s="309" t="s">
        <v>184</v>
      </c>
      <c r="V28" s="308"/>
      <c r="W28" s="309" t="s">
        <v>183</v>
      </c>
      <c r="X28" s="308"/>
      <c r="Y28" s="309" t="s">
        <v>185</v>
      </c>
      <c r="Z28" s="309" t="s">
        <v>186</v>
      </c>
      <c r="AA28" s="309" t="str">
        <f t="shared" si="21"/>
        <v/>
      </c>
      <c r="AB28" s="305" t="s">
        <v>187</v>
      </c>
      <c r="AC28" s="306" t="str">
        <f t="shared" si="10"/>
        <v/>
      </c>
      <c r="AD28" s="515" t="str">
        <f t="shared" si="11"/>
        <v/>
      </c>
      <c r="AE28" s="307" t="str">
        <f>IFERROR(ROUNDDOWN(ROUNDDOWN(ROUND(L28*VLOOKUP(K28,【参考】数式用!$A$4:$F$57,MATCH("処遇改善加算Ⅳ",【参考】数式用!$C$3:$F$3,0)+2,0),0),0)*AA28*0.5,0), "")</f>
        <v/>
      </c>
      <c r="AF28" s="318"/>
      <c r="AG28" s="319"/>
      <c r="AH28" s="319"/>
      <c r="AI28" s="318"/>
      <c r="AJ28" s="320"/>
      <c r="AK28" s="326"/>
      <c r="AL28" s="324" t="str">
        <f t="shared" si="0"/>
        <v/>
      </c>
      <c r="AM28" s="325" t="str">
        <f t="shared" si="20"/>
        <v/>
      </c>
      <c r="AN28" s="255"/>
      <c r="AO28" s="557" t="str">
        <f>IFERROR(VLOOKUP(K28,【参考】数式用!$A$2:$N$57,14,FALSE),"")</f>
        <v/>
      </c>
      <c r="AP28" s="557" t="str">
        <f t="shared" si="1"/>
        <v/>
      </c>
      <c r="AQ28" s="561" t="str">
        <f t="shared" si="2"/>
        <v/>
      </c>
      <c r="AR28" s="540" t="str">
        <f t="shared" si="3"/>
        <v>入力済</v>
      </c>
      <c r="AS28" s="578" t="str">
        <f t="shared" si="12"/>
        <v/>
      </c>
      <c r="AT28" s="540" t="str">
        <f t="shared" si="4"/>
        <v>入力済</v>
      </c>
      <c r="AU28" s="540" t="str">
        <f t="shared" si="13"/>
        <v/>
      </c>
      <c r="AV28" s="540" t="str">
        <f t="shared" si="5"/>
        <v/>
      </c>
      <c r="AW28" s="557" t="str">
        <f t="shared" si="6"/>
        <v/>
      </c>
      <c r="AX28" s="578" t="str">
        <f t="shared" si="14"/>
        <v/>
      </c>
      <c r="AY28" s="540" t="str">
        <f>IFERROR(VLOOKUP(K28,【参考】数式用!$AR$5:$AS$39,2, FALSE), "")</f>
        <v/>
      </c>
      <c r="AZ28" s="557" t="str">
        <f t="shared" si="15"/>
        <v/>
      </c>
      <c r="BA28" s="560" t="str">
        <f t="shared" si="7"/>
        <v>入力済</v>
      </c>
      <c r="BB28" s="540" t="str">
        <f>IFERROR(VLOOKUP(K28,【参考】数式用!$AX$3:$AY$59, 2, FALSE), "")</f>
        <v/>
      </c>
      <c r="BC28" s="578" t="str">
        <f t="shared" si="16"/>
        <v/>
      </c>
      <c r="BD28" s="560" t="str">
        <f t="shared" si="8"/>
        <v>入力済</v>
      </c>
      <c r="BE28" s="577" t="str">
        <f t="shared" si="17"/>
        <v/>
      </c>
      <c r="BF28" s="560" t="str">
        <f t="shared" si="9"/>
        <v/>
      </c>
      <c r="BG28" s="612"/>
      <c r="BH28" s="593" t="str">
        <f t="shared" si="18"/>
        <v/>
      </c>
      <c r="BI28" s="616" t="str">
        <f>IF(BH28="Ⅱロ有り",ROUNDDOWN(L28*VLOOKUP(K28,【参考】数式用!$A$4:$J$42,10,FALSE)*AA28,0),"")</f>
        <v/>
      </c>
      <c r="BJ28" s="616" t="str">
        <f>IF(BH28="Ⅱロなし",ROUNDDOWN(L28*VLOOKUP(K28,【参考】数式用!$A$4:$J$42,8,FALSE)*AA28,0),"")</f>
        <v/>
      </c>
    </row>
    <row r="29" spans="1:69" s="257" customFormat="1" ht="109.9" customHeight="1" thickBot="1">
      <c r="A29" s="303">
        <v>16</v>
      </c>
      <c r="B29" s="956" t="str">
        <f>IF(基本情報入力シート!B51="","",基本情報入力シート!B51)</f>
        <v/>
      </c>
      <c r="C29" s="957"/>
      <c r="D29" s="957"/>
      <c r="E29" s="957"/>
      <c r="F29" s="958"/>
      <c r="G29" s="304" t="str">
        <f>IF(基本情報入力シート!L51="", "", 基本情報入力シート!L51)</f>
        <v/>
      </c>
      <c r="H29" s="304" t="str">
        <f>IF(基本情報入力シート!Q51="", "", 基本情報入力シート!Q51)</f>
        <v/>
      </c>
      <c r="I29" s="304" t="str">
        <f>IF(基本情報入力シート!V51="", "", 基本情報入力シート!V51)</f>
        <v/>
      </c>
      <c r="J29" s="304" t="str">
        <f>IF(基本情報入力シート!W51="", "", 基本情報入力シート!W51)</f>
        <v/>
      </c>
      <c r="K29" s="304" t="str">
        <f>IF(基本情報入力シート!Z51="", "", 基本情報入力シート!Z51)</f>
        <v/>
      </c>
      <c r="L29" s="558" t="str">
        <f>IF(基本情報入力シート!AF51=0, "",基本情報入力シート!AF51)</f>
        <v/>
      </c>
      <c r="M29" s="588"/>
      <c r="N29" s="522" t="str">
        <f>IFERROR(VLOOKUP(K29,【参考】数式用!$A$2:$F$57,MATCH(M29,【参考】数式用!$C$3:$F$3,0)+2,0),"")</f>
        <v/>
      </c>
      <c r="O29" s="511"/>
      <c r="P29" s="555" t="str">
        <f>IFERROR(VLOOKUP(K29,【参考】数式用!$A$2:$F$57,MATCH(O29,【参考】数式用!$C$3:$F$3,0)+2,0),"")</f>
        <v/>
      </c>
      <c r="Q29" s="310" t="s">
        <v>118</v>
      </c>
      <c r="R29" s="308"/>
      <c r="S29" s="309" t="s">
        <v>183</v>
      </c>
      <c r="T29" s="308"/>
      <c r="U29" s="309" t="s">
        <v>184</v>
      </c>
      <c r="V29" s="308"/>
      <c r="W29" s="309" t="s">
        <v>183</v>
      </c>
      <c r="X29" s="308"/>
      <c r="Y29" s="309" t="s">
        <v>185</v>
      </c>
      <c r="Z29" s="309" t="s">
        <v>186</v>
      </c>
      <c r="AA29" s="309" t="str">
        <f t="shared" si="21"/>
        <v/>
      </c>
      <c r="AB29" s="305" t="s">
        <v>187</v>
      </c>
      <c r="AC29" s="306" t="str">
        <f t="shared" si="10"/>
        <v/>
      </c>
      <c r="AD29" s="515" t="str">
        <f t="shared" si="11"/>
        <v/>
      </c>
      <c r="AE29" s="307" t="str">
        <f>IFERROR(ROUNDDOWN(ROUNDDOWN(ROUND(L29*VLOOKUP(K29,【参考】数式用!$A$4:$F$57,MATCH("処遇改善加算Ⅳ",【参考】数式用!$C$3:$F$3,0)+2,0),0),0)*AA29*0.5,0), "")</f>
        <v/>
      </c>
      <c r="AF29" s="318"/>
      <c r="AG29" s="319"/>
      <c r="AH29" s="319"/>
      <c r="AI29" s="318"/>
      <c r="AJ29" s="320"/>
      <c r="AK29" s="326"/>
      <c r="AL29" s="324" t="str">
        <f t="shared" si="0"/>
        <v/>
      </c>
      <c r="AM29" s="325" t="str">
        <f t="shared" si="20"/>
        <v/>
      </c>
      <c r="AN29" s="255"/>
      <c r="AO29" s="557" t="str">
        <f>IFERROR(VLOOKUP(K29,【参考】数式用!$A$2:$N$57,14,FALSE),"")</f>
        <v/>
      </c>
      <c r="AP29" s="557" t="str">
        <f t="shared" si="1"/>
        <v/>
      </c>
      <c r="AQ29" s="561" t="str">
        <f t="shared" si="2"/>
        <v/>
      </c>
      <c r="AR29" s="540" t="str">
        <f t="shared" si="3"/>
        <v>入力済</v>
      </c>
      <c r="AS29" s="578" t="str">
        <f t="shared" si="12"/>
        <v/>
      </c>
      <c r="AT29" s="540" t="str">
        <f t="shared" si="4"/>
        <v>入力済</v>
      </c>
      <c r="AU29" s="540" t="str">
        <f t="shared" si="13"/>
        <v/>
      </c>
      <c r="AV29" s="540" t="str">
        <f t="shared" si="5"/>
        <v/>
      </c>
      <c r="AW29" s="557" t="str">
        <f t="shared" si="6"/>
        <v/>
      </c>
      <c r="AX29" s="578" t="str">
        <f t="shared" si="14"/>
        <v/>
      </c>
      <c r="AY29" s="540" t="str">
        <f>IFERROR(VLOOKUP(K29,【参考】数式用!$AR$5:$AS$39,2, FALSE), "")</f>
        <v/>
      </c>
      <c r="AZ29" s="557" t="str">
        <f t="shared" si="15"/>
        <v/>
      </c>
      <c r="BA29" s="560" t="str">
        <f t="shared" si="7"/>
        <v>入力済</v>
      </c>
      <c r="BB29" s="540" t="str">
        <f>IFERROR(VLOOKUP(K29,【参考】数式用!$AX$3:$AY$59, 2, FALSE), "")</f>
        <v/>
      </c>
      <c r="BC29" s="578" t="str">
        <f t="shared" si="16"/>
        <v/>
      </c>
      <c r="BD29" s="560" t="str">
        <f t="shared" si="8"/>
        <v>入力済</v>
      </c>
      <c r="BE29" s="577" t="str">
        <f t="shared" si="17"/>
        <v/>
      </c>
      <c r="BF29" s="560" t="str">
        <f t="shared" si="9"/>
        <v/>
      </c>
      <c r="BG29" s="612"/>
      <c r="BH29" s="593" t="str">
        <f t="shared" si="18"/>
        <v/>
      </c>
      <c r="BI29" s="616" t="str">
        <f>IF(BH29="Ⅱロ有り",ROUNDDOWN(L29*VLOOKUP(K29,【参考】数式用!$A$4:$J$42,10,FALSE)*AA29,0),"")</f>
        <v/>
      </c>
      <c r="BJ29" s="616" t="str">
        <f>IF(BH29="Ⅱロなし",ROUNDDOWN(L29*VLOOKUP(K29,【参考】数式用!$A$4:$J$42,8,FALSE)*AA29,0),"")</f>
        <v/>
      </c>
    </row>
    <row r="30" spans="1:69" s="257" customFormat="1" ht="109.9" customHeight="1" thickBot="1">
      <c r="A30" s="303">
        <v>17</v>
      </c>
      <c r="B30" s="956" t="str">
        <f>IF(基本情報入力シート!B52="","",基本情報入力シート!B52)</f>
        <v/>
      </c>
      <c r="C30" s="957"/>
      <c r="D30" s="957"/>
      <c r="E30" s="957"/>
      <c r="F30" s="958"/>
      <c r="G30" s="304" t="str">
        <f>IF(基本情報入力シート!L52="", "", 基本情報入力シート!L52)</f>
        <v/>
      </c>
      <c r="H30" s="304" t="str">
        <f>IF(基本情報入力シート!Q52="", "", 基本情報入力シート!Q52)</f>
        <v/>
      </c>
      <c r="I30" s="304" t="str">
        <f>IF(基本情報入力シート!V52="", "", 基本情報入力シート!V52)</f>
        <v/>
      </c>
      <c r="J30" s="304" t="str">
        <f>IF(基本情報入力シート!W52="", "", 基本情報入力シート!W52)</f>
        <v/>
      </c>
      <c r="K30" s="304" t="str">
        <f>IF(基本情報入力シート!Z52="", "", 基本情報入力シート!Z52)</f>
        <v/>
      </c>
      <c r="L30" s="558" t="str">
        <f>IF(基本情報入力シート!AF52=0, "",基本情報入力シート!AF52)</f>
        <v/>
      </c>
      <c r="M30" s="588"/>
      <c r="N30" s="522" t="str">
        <f>IFERROR(VLOOKUP(K30,【参考】数式用!$A$2:$F$57,MATCH(M30,【参考】数式用!$C$3:$F$3,0)+2,0),"")</f>
        <v/>
      </c>
      <c r="O30" s="511"/>
      <c r="P30" s="555" t="str">
        <f>IFERROR(VLOOKUP(K30,【参考】数式用!$A$2:$F$57,MATCH(O30,【参考】数式用!$C$3:$F$3,0)+2,0),"")</f>
        <v/>
      </c>
      <c r="Q30" s="310" t="s">
        <v>118</v>
      </c>
      <c r="R30" s="308"/>
      <c r="S30" s="309" t="s">
        <v>183</v>
      </c>
      <c r="T30" s="308"/>
      <c r="U30" s="309" t="s">
        <v>184</v>
      </c>
      <c r="V30" s="308"/>
      <c r="W30" s="309" t="s">
        <v>183</v>
      </c>
      <c r="X30" s="308"/>
      <c r="Y30" s="309" t="s">
        <v>185</v>
      </c>
      <c r="Z30" s="309" t="s">
        <v>186</v>
      </c>
      <c r="AA30" s="309" t="str">
        <f t="shared" si="21"/>
        <v/>
      </c>
      <c r="AB30" s="305" t="s">
        <v>187</v>
      </c>
      <c r="AC30" s="306" t="str">
        <f t="shared" si="10"/>
        <v/>
      </c>
      <c r="AD30" s="515" t="str">
        <f t="shared" si="11"/>
        <v/>
      </c>
      <c r="AE30" s="307" t="str">
        <f>IFERROR(ROUNDDOWN(ROUNDDOWN(ROUND(L30*VLOOKUP(K30,【参考】数式用!$A$4:$F$57,MATCH("処遇改善加算Ⅳ",【参考】数式用!$C$3:$F$3,0)+2,0),0),0)*AA30*0.5,0), "")</f>
        <v/>
      </c>
      <c r="AF30" s="318"/>
      <c r="AG30" s="319"/>
      <c r="AH30" s="319"/>
      <c r="AI30" s="318"/>
      <c r="AJ30" s="320"/>
      <c r="AK30" s="326"/>
      <c r="AL30" s="324" t="str">
        <f t="shared" si="0"/>
        <v/>
      </c>
      <c r="AM30" s="325" t="str">
        <f t="shared" si="20"/>
        <v/>
      </c>
      <c r="AN30" s="255"/>
      <c r="AO30" s="557" t="str">
        <f>IFERROR(VLOOKUP(K30,【参考】数式用!$A$2:$N$57,14,FALSE),"")</f>
        <v/>
      </c>
      <c r="AP30" s="557" t="str">
        <f t="shared" si="1"/>
        <v/>
      </c>
      <c r="AQ30" s="561" t="str">
        <f t="shared" si="2"/>
        <v/>
      </c>
      <c r="AR30" s="540" t="str">
        <f t="shared" si="3"/>
        <v>入力済</v>
      </c>
      <c r="AS30" s="578" t="str">
        <f t="shared" si="12"/>
        <v/>
      </c>
      <c r="AT30" s="540" t="str">
        <f t="shared" si="4"/>
        <v>入力済</v>
      </c>
      <c r="AU30" s="540" t="str">
        <f t="shared" si="13"/>
        <v/>
      </c>
      <c r="AV30" s="540" t="str">
        <f t="shared" si="5"/>
        <v/>
      </c>
      <c r="AW30" s="557" t="str">
        <f t="shared" si="6"/>
        <v/>
      </c>
      <c r="AX30" s="578" t="str">
        <f t="shared" si="14"/>
        <v/>
      </c>
      <c r="AY30" s="540" t="str">
        <f>IFERROR(VLOOKUP(K30,【参考】数式用!$AR$5:$AS$39,2, FALSE), "")</f>
        <v/>
      </c>
      <c r="AZ30" s="557" t="str">
        <f t="shared" si="15"/>
        <v/>
      </c>
      <c r="BA30" s="560" t="str">
        <f t="shared" si="7"/>
        <v>入力済</v>
      </c>
      <c r="BB30" s="540" t="str">
        <f>IFERROR(VLOOKUP(K30,【参考】数式用!$AX$3:$AY$59, 2, FALSE), "")</f>
        <v/>
      </c>
      <c r="BC30" s="578" t="str">
        <f t="shared" si="16"/>
        <v/>
      </c>
      <c r="BD30" s="560" t="str">
        <f t="shared" si="8"/>
        <v>入力済</v>
      </c>
      <c r="BE30" s="577" t="str">
        <f t="shared" si="17"/>
        <v/>
      </c>
      <c r="BF30" s="560" t="str">
        <f t="shared" si="9"/>
        <v/>
      </c>
      <c r="BG30" s="612"/>
      <c r="BH30" s="593" t="str">
        <f t="shared" si="18"/>
        <v/>
      </c>
      <c r="BI30" s="616" t="str">
        <f>IF(BH30="Ⅱロ有り",ROUNDDOWN(L30*VLOOKUP(K30,【参考】数式用!$A$4:$J$42,10,FALSE)*AA30,0),"")</f>
        <v/>
      </c>
      <c r="BJ30" s="616" t="str">
        <f>IF(BH30="Ⅱロなし",ROUNDDOWN(L30*VLOOKUP(K30,【参考】数式用!$A$4:$J$42,8,FALSE)*AA30,0),"")</f>
        <v/>
      </c>
    </row>
    <row r="31" spans="1:69" s="257" customFormat="1" ht="109.9" customHeight="1" thickBot="1">
      <c r="A31" s="303">
        <v>18</v>
      </c>
      <c r="B31" s="956" t="str">
        <f>IF(基本情報入力シート!B53="","",基本情報入力シート!B53)</f>
        <v/>
      </c>
      <c r="C31" s="957"/>
      <c r="D31" s="957"/>
      <c r="E31" s="957"/>
      <c r="F31" s="958"/>
      <c r="G31" s="304" t="str">
        <f>IF(基本情報入力シート!L53="", "", 基本情報入力シート!L53)</f>
        <v/>
      </c>
      <c r="H31" s="304" t="str">
        <f>IF(基本情報入力シート!Q53="", "", 基本情報入力シート!Q53)</f>
        <v/>
      </c>
      <c r="I31" s="304" t="str">
        <f>IF(基本情報入力シート!V53="", "", 基本情報入力シート!V53)</f>
        <v/>
      </c>
      <c r="J31" s="304" t="str">
        <f>IF(基本情報入力シート!W53="", "", 基本情報入力シート!W53)</f>
        <v/>
      </c>
      <c r="K31" s="304" t="str">
        <f>IF(基本情報入力シート!Z53="", "", 基本情報入力シート!Z53)</f>
        <v/>
      </c>
      <c r="L31" s="558" t="str">
        <f>IF(基本情報入力シート!AF53=0, "",基本情報入力シート!AF53)</f>
        <v/>
      </c>
      <c r="M31" s="588"/>
      <c r="N31" s="522" t="str">
        <f>IFERROR(VLOOKUP(K31,【参考】数式用!$A$2:$F$57,MATCH(M31,【参考】数式用!$C$3:$F$3,0)+2,0),"")</f>
        <v/>
      </c>
      <c r="O31" s="511"/>
      <c r="P31" s="555" t="str">
        <f>IFERROR(VLOOKUP(K31,【参考】数式用!$A$2:$F$57,MATCH(O31,【参考】数式用!$C$3:$F$3,0)+2,0),"")</f>
        <v/>
      </c>
      <c r="Q31" s="310" t="s">
        <v>118</v>
      </c>
      <c r="R31" s="308"/>
      <c r="S31" s="309" t="s">
        <v>183</v>
      </c>
      <c r="T31" s="308"/>
      <c r="U31" s="309" t="s">
        <v>184</v>
      </c>
      <c r="V31" s="308"/>
      <c r="W31" s="309" t="s">
        <v>183</v>
      </c>
      <c r="X31" s="308"/>
      <c r="Y31" s="309" t="s">
        <v>185</v>
      </c>
      <c r="Z31" s="309" t="s">
        <v>186</v>
      </c>
      <c r="AA31" s="309" t="str">
        <f t="shared" si="21"/>
        <v/>
      </c>
      <c r="AB31" s="305" t="s">
        <v>187</v>
      </c>
      <c r="AC31" s="306" t="str">
        <f t="shared" si="10"/>
        <v/>
      </c>
      <c r="AD31" s="515" t="str">
        <f t="shared" si="11"/>
        <v/>
      </c>
      <c r="AE31" s="307" t="str">
        <f>IFERROR(ROUNDDOWN(ROUNDDOWN(ROUND(L31*VLOOKUP(K31,【参考】数式用!$A$4:$F$57,MATCH("処遇改善加算Ⅳ",【参考】数式用!$C$3:$F$3,0)+2,0),0),0)*AA31*0.5,0), "")</f>
        <v/>
      </c>
      <c r="AF31" s="318"/>
      <c r="AG31" s="319"/>
      <c r="AH31" s="319"/>
      <c r="AI31" s="318"/>
      <c r="AJ31" s="320"/>
      <c r="AK31" s="326"/>
      <c r="AL31" s="324" t="str">
        <f t="shared" si="0"/>
        <v/>
      </c>
      <c r="AM31" s="325" t="str">
        <f t="shared" si="20"/>
        <v/>
      </c>
      <c r="AN31" s="255"/>
      <c r="AO31" s="557" t="str">
        <f>IFERROR(VLOOKUP(K31,【参考】数式用!$A$2:$N$57,14,FALSE),"")</f>
        <v/>
      </c>
      <c r="AP31" s="557" t="str">
        <f t="shared" si="1"/>
        <v/>
      </c>
      <c r="AQ31" s="561" t="str">
        <f t="shared" si="2"/>
        <v/>
      </c>
      <c r="AR31" s="540" t="str">
        <f t="shared" si="3"/>
        <v>入力済</v>
      </c>
      <c r="AS31" s="578" t="str">
        <f t="shared" si="12"/>
        <v/>
      </c>
      <c r="AT31" s="540" t="str">
        <f t="shared" si="4"/>
        <v>入力済</v>
      </c>
      <c r="AU31" s="540" t="str">
        <f t="shared" si="13"/>
        <v/>
      </c>
      <c r="AV31" s="540" t="str">
        <f t="shared" si="5"/>
        <v/>
      </c>
      <c r="AW31" s="557" t="str">
        <f t="shared" si="6"/>
        <v/>
      </c>
      <c r="AX31" s="578" t="str">
        <f t="shared" si="14"/>
        <v/>
      </c>
      <c r="AY31" s="540" t="str">
        <f>IFERROR(VLOOKUP(K31,【参考】数式用!$AR$5:$AS$39,2, FALSE), "")</f>
        <v/>
      </c>
      <c r="AZ31" s="557" t="str">
        <f t="shared" si="15"/>
        <v/>
      </c>
      <c r="BA31" s="560" t="str">
        <f t="shared" si="7"/>
        <v>入力済</v>
      </c>
      <c r="BB31" s="540" t="str">
        <f>IFERROR(VLOOKUP(K31,【参考】数式用!$AX$3:$AY$59, 2, FALSE), "")</f>
        <v/>
      </c>
      <c r="BC31" s="578" t="str">
        <f t="shared" si="16"/>
        <v/>
      </c>
      <c r="BD31" s="560" t="str">
        <f t="shared" si="8"/>
        <v>入力済</v>
      </c>
      <c r="BE31" s="577" t="str">
        <f t="shared" si="17"/>
        <v/>
      </c>
      <c r="BF31" s="560" t="str">
        <f t="shared" si="9"/>
        <v/>
      </c>
      <c r="BG31" s="612"/>
      <c r="BH31" s="593" t="str">
        <f t="shared" si="18"/>
        <v/>
      </c>
      <c r="BI31" s="616" t="str">
        <f>IF(BH31="Ⅱロ有り",ROUNDDOWN(L31*VLOOKUP(K31,【参考】数式用!$A$4:$J$42,10,FALSE)*AA31,0),"")</f>
        <v/>
      </c>
      <c r="BJ31" s="616" t="str">
        <f>IF(BH31="Ⅱロなし",ROUNDDOWN(L31*VLOOKUP(K31,【参考】数式用!$A$4:$J$42,8,FALSE)*AA31,0),"")</f>
        <v/>
      </c>
    </row>
    <row r="32" spans="1:69" s="257" customFormat="1" ht="109.9" customHeight="1" thickBot="1">
      <c r="A32" s="303">
        <v>19</v>
      </c>
      <c r="B32" s="956" t="str">
        <f>IF(基本情報入力シート!B54="","",基本情報入力シート!B54)</f>
        <v/>
      </c>
      <c r="C32" s="957"/>
      <c r="D32" s="957"/>
      <c r="E32" s="957"/>
      <c r="F32" s="958"/>
      <c r="G32" s="304" t="str">
        <f>IF(基本情報入力シート!L54="", "", 基本情報入力シート!L54)</f>
        <v/>
      </c>
      <c r="H32" s="304" t="str">
        <f>IF(基本情報入力シート!Q54="", "", 基本情報入力シート!Q54)</f>
        <v/>
      </c>
      <c r="I32" s="304" t="str">
        <f>IF(基本情報入力シート!V54="", "", 基本情報入力シート!V54)</f>
        <v/>
      </c>
      <c r="J32" s="304" t="str">
        <f>IF(基本情報入力シート!W54="", "", 基本情報入力シート!W54)</f>
        <v/>
      </c>
      <c r="K32" s="304" t="str">
        <f>IF(基本情報入力シート!Z54="", "", 基本情報入力シート!Z54)</f>
        <v/>
      </c>
      <c r="L32" s="558" t="str">
        <f>IF(基本情報入力シート!AF54=0, "",基本情報入力シート!AF54)</f>
        <v/>
      </c>
      <c r="M32" s="588"/>
      <c r="N32" s="522" t="str">
        <f>IFERROR(VLOOKUP(K32,【参考】数式用!$A$2:$F$57,MATCH(M32,【参考】数式用!$C$3:$F$3,0)+2,0),"")</f>
        <v/>
      </c>
      <c r="O32" s="511"/>
      <c r="P32" s="555" t="str">
        <f>IFERROR(VLOOKUP(K32,【参考】数式用!$A$2:$F$57,MATCH(O32,【参考】数式用!$C$3:$F$3,0)+2,0),"")</f>
        <v/>
      </c>
      <c r="Q32" s="310" t="s">
        <v>118</v>
      </c>
      <c r="R32" s="308"/>
      <c r="S32" s="309" t="s">
        <v>183</v>
      </c>
      <c r="T32" s="308"/>
      <c r="U32" s="309" t="s">
        <v>184</v>
      </c>
      <c r="V32" s="308"/>
      <c r="W32" s="309" t="s">
        <v>183</v>
      </c>
      <c r="X32" s="308"/>
      <c r="Y32" s="309" t="s">
        <v>185</v>
      </c>
      <c r="Z32" s="309" t="s">
        <v>186</v>
      </c>
      <c r="AA32" s="309" t="str">
        <f t="shared" si="21"/>
        <v/>
      </c>
      <c r="AB32" s="305" t="s">
        <v>187</v>
      </c>
      <c r="AC32" s="306" t="str">
        <f t="shared" si="10"/>
        <v/>
      </c>
      <c r="AD32" s="515" t="str">
        <f t="shared" si="11"/>
        <v/>
      </c>
      <c r="AE32" s="307" t="str">
        <f>IFERROR(ROUNDDOWN(ROUNDDOWN(ROUND(L32*VLOOKUP(K32,【参考】数式用!$A$4:$F$57,MATCH("処遇改善加算Ⅳ",【参考】数式用!$C$3:$F$3,0)+2,0),0),0)*AA32*0.5,0), "")</f>
        <v/>
      </c>
      <c r="AF32" s="318"/>
      <c r="AG32" s="319"/>
      <c r="AH32" s="319"/>
      <c r="AI32" s="318"/>
      <c r="AJ32" s="320"/>
      <c r="AK32" s="326"/>
      <c r="AL32" s="324" t="str">
        <f t="shared" si="0"/>
        <v/>
      </c>
      <c r="AM32" s="325" t="str">
        <f t="shared" si="20"/>
        <v/>
      </c>
      <c r="AN32" s="255"/>
      <c r="AO32" s="557" t="str">
        <f>IFERROR(VLOOKUP(K32,【参考】数式用!$A$2:$N$57,14,FALSE),"")</f>
        <v/>
      </c>
      <c r="AP32" s="557" t="str">
        <f t="shared" si="1"/>
        <v/>
      </c>
      <c r="AQ32" s="561" t="str">
        <f t="shared" si="2"/>
        <v/>
      </c>
      <c r="AR32" s="540" t="str">
        <f t="shared" si="3"/>
        <v>入力済</v>
      </c>
      <c r="AS32" s="578" t="str">
        <f t="shared" si="12"/>
        <v/>
      </c>
      <c r="AT32" s="540" t="str">
        <f t="shared" si="4"/>
        <v>入力済</v>
      </c>
      <c r="AU32" s="540" t="str">
        <f t="shared" si="13"/>
        <v/>
      </c>
      <c r="AV32" s="540" t="str">
        <f t="shared" si="5"/>
        <v/>
      </c>
      <c r="AW32" s="557" t="str">
        <f t="shared" si="6"/>
        <v/>
      </c>
      <c r="AX32" s="578" t="str">
        <f t="shared" si="14"/>
        <v/>
      </c>
      <c r="AY32" s="540" t="str">
        <f>IFERROR(VLOOKUP(K32,【参考】数式用!$AR$5:$AS$39,2, FALSE), "")</f>
        <v/>
      </c>
      <c r="AZ32" s="557" t="str">
        <f t="shared" si="15"/>
        <v/>
      </c>
      <c r="BA32" s="560" t="str">
        <f t="shared" si="7"/>
        <v>入力済</v>
      </c>
      <c r="BB32" s="540" t="str">
        <f>IFERROR(VLOOKUP(K32,【参考】数式用!$AX$3:$AY$59, 2, FALSE), "")</f>
        <v/>
      </c>
      <c r="BC32" s="578" t="str">
        <f t="shared" si="16"/>
        <v/>
      </c>
      <c r="BD32" s="560" t="str">
        <f t="shared" si="8"/>
        <v>入力済</v>
      </c>
      <c r="BE32" s="577" t="str">
        <f t="shared" si="17"/>
        <v/>
      </c>
      <c r="BF32" s="560" t="str">
        <f t="shared" si="9"/>
        <v/>
      </c>
      <c r="BG32" s="612"/>
      <c r="BH32" s="593" t="str">
        <f t="shared" si="18"/>
        <v/>
      </c>
      <c r="BI32" s="616" t="str">
        <f>IF(BH32="Ⅱロ有り",ROUNDDOWN(L32*VLOOKUP(K32,【参考】数式用!$A$4:$J$42,10,FALSE)*AA32,0),"")</f>
        <v/>
      </c>
      <c r="BJ32" s="616" t="str">
        <f>IF(BH32="Ⅱロなし",ROUNDDOWN(L32*VLOOKUP(K32,【参考】数式用!$A$4:$J$42,8,FALSE)*AA32,0),"")</f>
        <v/>
      </c>
    </row>
    <row r="33" spans="1:62" s="257" customFormat="1" ht="109.9" customHeight="1" thickBot="1">
      <c r="A33" s="303">
        <v>20</v>
      </c>
      <c r="B33" s="956" t="str">
        <f>IF(基本情報入力シート!B55="","",基本情報入力シート!B55)</f>
        <v/>
      </c>
      <c r="C33" s="957"/>
      <c r="D33" s="957"/>
      <c r="E33" s="957"/>
      <c r="F33" s="958"/>
      <c r="G33" s="304" t="str">
        <f>IF(基本情報入力シート!L55="", "", 基本情報入力シート!L55)</f>
        <v/>
      </c>
      <c r="H33" s="304" t="str">
        <f>IF(基本情報入力シート!Q55="", "", 基本情報入力シート!Q55)</f>
        <v/>
      </c>
      <c r="I33" s="304" t="str">
        <f>IF(基本情報入力シート!V55="", "", 基本情報入力シート!V55)</f>
        <v/>
      </c>
      <c r="J33" s="304" t="str">
        <f>IF(基本情報入力シート!W55="", "", 基本情報入力シート!W55)</f>
        <v/>
      </c>
      <c r="K33" s="304" t="str">
        <f>IF(基本情報入力シート!Z55="", "", 基本情報入力シート!Z55)</f>
        <v/>
      </c>
      <c r="L33" s="558" t="str">
        <f>IF(基本情報入力シート!AF55=0, "",基本情報入力シート!AF55)</f>
        <v/>
      </c>
      <c r="M33" s="588"/>
      <c r="N33" s="522" t="str">
        <f>IFERROR(VLOOKUP(K33,【参考】数式用!$A$2:$F$57,MATCH(M33,【参考】数式用!$C$3:$F$3,0)+2,0),"")</f>
        <v/>
      </c>
      <c r="O33" s="511"/>
      <c r="P33" s="555" t="str">
        <f>IFERROR(VLOOKUP(K33,【参考】数式用!$A$2:$F$57,MATCH(O33,【参考】数式用!$C$3:$F$3,0)+2,0),"")</f>
        <v/>
      </c>
      <c r="Q33" s="310" t="s">
        <v>118</v>
      </c>
      <c r="R33" s="308"/>
      <c r="S33" s="309" t="s">
        <v>183</v>
      </c>
      <c r="T33" s="308"/>
      <c r="U33" s="309" t="s">
        <v>184</v>
      </c>
      <c r="V33" s="308"/>
      <c r="W33" s="309" t="s">
        <v>183</v>
      </c>
      <c r="X33" s="308"/>
      <c r="Y33" s="309" t="s">
        <v>185</v>
      </c>
      <c r="Z33" s="309" t="s">
        <v>186</v>
      </c>
      <c r="AA33" s="309" t="str">
        <f t="shared" si="21"/>
        <v/>
      </c>
      <c r="AB33" s="305" t="s">
        <v>187</v>
      </c>
      <c r="AC33" s="306" t="str">
        <f t="shared" si="10"/>
        <v/>
      </c>
      <c r="AD33" s="515" t="str">
        <f t="shared" si="11"/>
        <v/>
      </c>
      <c r="AE33" s="307" t="str">
        <f>IFERROR(ROUNDDOWN(ROUNDDOWN(ROUND(L33*VLOOKUP(K33,【参考】数式用!$A$4:$F$57,MATCH("処遇改善加算Ⅳ",【参考】数式用!$C$3:$F$3,0)+2,0),0),0)*AA33*0.5,0), "")</f>
        <v/>
      </c>
      <c r="AF33" s="318"/>
      <c r="AG33" s="319"/>
      <c r="AH33" s="319"/>
      <c r="AI33" s="318"/>
      <c r="AJ33" s="320"/>
      <c r="AK33" s="326"/>
      <c r="AL33" s="324" t="str">
        <f t="shared" si="0"/>
        <v/>
      </c>
      <c r="AM33" s="325" t="str">
        <f t="shared" si="20"/>
        <v/>
      </c>
      <c r="AN33" s="255"/>
      <c r="AO33" s="557" t="str">
        <f>IFERROR(VLOOKUP(K33,【参考】数式用!$A$2:$N$57,14,FALSE),"")</f>
        <v/>
      </c>
      <c r="AP33" s="557" t="str">
        <f t="shared" si="1"/>
        <v/>
      </c>
      <c r="AQ33" s="561" t="str">
        <f t="shared" si="2"/>
        <v/>
      </c>
      <c r="AR33" s="540" t="str">
        <f t="shared" si="3"/>
        <v>入力済</v>
      </c>
      <c r="AS33" s="578" t="str">
        <f t="shared" si="12"/>
        <v/>
      </c>
      <c r="AT33" s="540" t="str">
        <f t="shared" si="4"/>
        <v>入力済</v>
      </c>
      <c r="AU33" s="540" t="str">
        <f t="shared" si="13"/>
        <v/>
      </c>
      <c r="AV33" s="540" t="str">
        <f t="shared" si="5"/>
        <v/>
      </c>
      <c r="AW33" s="557" t="str">
        <f t="shared" si="6"/>
        <v/>
      </c>
      <c r="AX33" s="578" t="str">
        <f t="shared" si="14"/>
        <v/>
      </c>
      <c r="AY33" s="540" t="str">
        <f>IFERROR(VLOOKUP(K33,【参考】数式用!$AR$5:$AS$39,2, FALSE), "")</f>
        <v/>
      </c>
      <c r="AZ33" s="557" t="str">
        <f t="shared" si="15"/>
        <v/>
      </c>
      <c r="BA33" s="560" t="str">
        <f t="shared" si="7"/>
        <v>入力済</v>
      </c>
      <c r="BB33" s="540" t="str">
        <f>IFERROR(VLOOKUP(K33,【参考】数式用!$AX$3:$AY$59, 2, FALSE), "")</f>
        <v/>
      </c>
      <c r="BC33" s="578" t="str">
        <f t="shared" si="16"/>
        <v/>
      </c>
      <c r="BD33" s="560" t="str">
        <f t="shared" si="8"/>
        <v>入力済</v>
      </c>
      <c r="BE33" s="577" t="str">
        <f t="shared" si="17"/>
        <v/>
      </c>
      <c r="BF33" s="560" t="str">
        <f t="shared" si="9"/>
        <v/>
      </c>
      <c r="BG33" s="612"/>
      <c r="BH33" s="593" t="str">
        <f t="shared" si="18"/>
        <v/>
      </c>
      <c r="BI33" s="616" t="str">
        <f>IF(BH33="Ⅱロ有り",ROUNDDOWN(L33*VLOOKUP(K33,【参考】数式用!$A$4:$J$42,10,FALSE)*AA33,0),"")</f>
        <v/>
      </c>
      <c r="BJ33" s="616" t="str">
        <f>IF(BH33="Ⅱロなし",ROUNDDOWN(L33*VLOOKUP(K33,【参考】数式用!$A$4:$J$42,8,FALSE)*AA33,0),"")</f>
        <v/>
      </c>
    </row>
    <row r="34" spans="1:62" s="257" customFormat="1" ht="109.9" customHeight="1" thickBot="1">
      <c r="A34" s="303">
        <v>21</v>
      </c>
      <c r="B34" s="956" t="str">
        <f>IF(基本情報入力シート!B56="","",基本情報入力シート!B56)</f>
        <v/>
      </c>
      <c r="C34" s="957"/>
      <c r="D34" s="957"/>
      <c r="E34" s="957"/>
      <c r="F34" s="958"/>
      <c r="G34" s="304" t="str">
        <f>IF(基本情報入力シート!L56="", "", 基本情報入力シート!L56)</f>
        <v/>
      </c>
      <c r="H34" s="304" t="str">
        <f>IF(基本情報入力シート!Q56="", "", 基本情報入力シート!Q56)</f>
        <v/>
      </c>
      <c r="I34" s="304" t="str">
        <f>IF(基本情報入力シート!V56="", "", 基本情報入力シート!V56)</f>
        <v/>
      </c>
      <c r="J34" s="304" t="str">
        <f>IF(基本情報入力シート!W56="", "", 基本情報入力シート!W56)</f>
        <v/>
      </c>
      <c r="K34" s="304" t="str">
        <f>IF(基本情報入力シート!Z56="", "", 基本情報入力シート!Z56)</f>
        <v/>
      </c>
      <c r="L34" s="558" t="str">
        <f>IF(基本情報入力シート!AF56=0, "",基本情報入力シート!AF56)</f>
        <v/>
      </c>
      <c r="M34" s="588"/>
      <c r="N34" s="522" t="str">
        <f>IFERROR(VLOOKUP(K34,【参考】数式用!$A$2:$F$57,MATCH(M34,【参考】数式用!$C$3:$F$3,0)+2,0),"")</f>
        <v/>
      </c>
      <c r="O34" s="511"/>
      <c r="P34" s="555" t="str">
        <f>IFERROR(VLOOKUP(K34,【参考】数式用!$A$2:$F$57,MATCH(O34,【参考】数式用!$C$3:$F$3,0)+2,0),"")</f>
        <v/>
      </c>
      <c r="Q34" s="310" t="s">
        <v>118</v>
      </c>
      <c r="R34" s="308"/>
      <c r="S34" s="309" t="s">
        <v>183</v>
      </c>
      <c r="T34" s="308"/>
      <c r="U34" s="309" t="s">
        <v>184</v>
      </c>
      <c r="V34" s="308"/>
      <c r="W34" s="309" t="s">
        <v>183</v>
      </c>
      <c r="X34" s="308"/>
      <c r="Y34" s="309" t="s">
        <v>185</v>
      </c>
      <c r="Z34" s="309" t="s">
        <v>186</v>
      </c>
      <c r="AA34" s="309" t="str">
        <f t="shared" si="21"/>
        <v/>
      </c>
      <c r="AB34" s="305" t="s">
        <v>187</v>
      </c>
      <c r="AC34" s="306" t="str">
        <f t="shared" si="10"/>
        <v/>
      </c>
      <c r="AD34" s="515" t="str">
        <f t="shared" si="11"/>
        <v/>
      </c>
      <c r="AE34" s="307" t="str">
        <f>IFERROR(ROUNDDOWN(ROUNDDOWN(ROUND(L34*VLOOKUP(K34,【参考】数式用!$A$4:$F$57,MATCH("処遇改善加算Ⅳ",【参考】数式用!$C$3:$F$3,0)+2,0),0),0)*AA34*0.5,0), "")</f>
        <v/>
      </c>
      <c r="AF34" s="318"/>
      <c r="AG34" s="319"/>
      <c r="AH34" s="319"/>
      <c r="AI34" s="318"/>
      <c r="AJ34" s="320"/>
      <c r="AK34" s="326"/>
      <c r="AL34" s="324" t="str">
        <f t="shared" si="0"/>
        <v/>
      </c>
      <c r="AM34" s="325" t="str">
        <f t="shared" si="20"/>
        <v/>
      </c>
      <c r="AN34" s="255"/>
      <c r="AO34" s="557" t="str">
        <f>IFERROR(VLOOKUP(K34,【参考】数式用!$A$2:$N$57,14,FALSE),"")</f>
        <v/>
      </c>
      <c r="AP34" s="557" t="str">
        <f t="shared" si="1"/>
        <v/>
      </c>
      <c r="AQ34" s="561" t="str">
        <f t="shared" si="2"/>
        <v/>
      </c>
      <c r="AR34" s="540" t="str">
        <f t="shared" si="3"/>
        <v>入力済</v>
      </c>
      <c r="AS34" s="578" t="str">
        <f t="shared" si="12"/>
        <v/>
      </c>
      <c r="AT34" s="540" t="str">
        <f t="shared" si="4"/>
        <v>入力済</v>
      </c>
      <c r="AU34" s="540" t="str">
        <f t="shared" si="13"/>
        <v/>
      </c>
      <c r="AV34" s="540" t="str">
        <f t="shared" si="5"/>
        <v/>
      </c>
      <c r="AW34" s="557" t="str">
        <f t="shared" si="6"/>
        <v/>
      </c>
      <c r="AX34" s="578" t="str">
        <f t="shared" si="14"/>
        <v/>
      </c>
      <c r="AY34" s="540" t="str">
        <f>IFERROR(VLOOKUP(K34,【参考】数式用!$AR$5:$AS$39,2, FALSE), "")</f>
        <v/>
      </c>
      <c r="AZ34" s="557" t="str">
        <f t="shared" si="15"/>
        <v/>
      </c>
      <c r="BA34" s="560" t="str">
        <f t="shared" si="7"/>
        <v>入力済</v>
      </c>
      <c r="BB34" s="540" t="str">
        <f>IFERROR(VLOOKUP(K34,【参考】数式用!$AX$3:$AY$59, 2, FALSE), "")</f>
        <v/>
      </c>
      <c r="BC34" s="578" t="str">
        <f t="shared" si="16"/>
        <v/>
      </c>
      <c r="BD34" s="560" t="str">
        <f t="shared" si="8"/>
        <v>入力済</v>
      </c>
      <c r="BE34" s="577" t="str">
        <f t="shared" si="17"/>
        <v/>
      </c>
      <c r="BF34" s="560" t="str">
        <f t="shared" si="9"/>
        <v/>
      </c>
      <c r="BG34" s="612"/>
      <c r="BH34" s="593" t="str">
        <f t="shared" si="18"/>
        <v/>
      </c>
      <c r="BI34" s="616" t="str">
        <f>IF(BH34="Ⅱロ有り",ROUNDDOWN(L34*VLOOKUP(K34,【参考】数式用!$A$4:$J$42,10,FALSE)*AA34,0),"")</f>
        <v/>
      </c>
      <c r="BJ34" s="616" t="str">
        <f>IF(BH34="Ⅱロなし",ROUNDDOWN(L34*VLOOKUP(K34,【参考】数式用!$A$4:$J$42,8,FALSE)*AA34,0),"")</f>
        <v/>
      </c>
    </row>
    <row r="35" spans="1:62" s="257" customFormat="1" ht="109.9" customHeight="1" thickBot="1">
      <c r="A35" s="303">
        <v>22</v>
      </c>
      <c r="B35" s="956" t="str">
        <f>IF(基本情報入力シート!B57="","",基本情報入力シート!B57)</f>
        <v/>
      </c>
      <c r="C35" s="957"/>
      <c r="D35" s="957"/>
      <c r="E35" s="957"/>
      <c r="F35" s="958"/>
      <c r="G35" s="304" t="str">
        <f>IF(基本情報入力シート!L57="", "", 基本情報入力シート!L57)</f>
        <v/>
      </c>
      <c r="H35" s="304" t="str">
        <f>IF(基本情報入力シート!Q57="", "", 基本情報入力シート!Q57)</f>
        <v/>
      </c>
      <c r="I35" s="304" t="str">
        <f>IF(基本情報入力シート!V57="", "", 基本情報入力シート!V57)</f>
        <v/>
      </c>
      <c r="J35" s="304" t="str">
        <f>IF(基本情報入力シート!W57="", "", 基本情報入力シート!W57)</f>
        <v/>
      </c>
      <c r="K35" s="304" t="str">
        <f>IF(基本情報入力シート!Z57="", "", 基本情報入力シート!Z57)</f>
        <v/>
      </c>
      <c r="L35" s="558" t="str">
        <f>IF(基本情報入力シート!AF57=0, "",基本情報入力シート!AF57)</f>
        <v/>
      </c>
      <c r="M35" s="588"/>
      <c r="N35" s="522" t="str">
        <f>IFERROR(VLOOKUP(K35,【参考】数式用!$A$2:$F$57,MATCH(M35,【参考】数式用!$C$3:$F$3,0)+2,0),"")</f>
        <v/>
      </c>
      <c r="O35" s="511"/>
      <c r="P35" s="555" t="str">
        <f>IFERROR(VLOOKUP(K35,【参考】数式用!$A$2:$F$57,MATCH(O35,【参考】数式用!$C$3:$F$3,0)+2,0),"")</f>
        <v/>
      </c>
      <c r="Q35" s="310" t="s">
        <v>118</v>
      </c>
      <c r="R35" s="308"/>
      <c r="S35" s="309" t="s">
        <v>183</v>
      </c>
      <c r="T35" s="308"/>
      <c r="U35" s="309" t="s">
        <v>184</v>
      </c>
      <c r="V35" s="308"/>
      <c r="W35" s="309" t="s">
        <v>183</v>
      </c>
      <c r="X35" s="308"/>
      <c r="Y35" s="309" t="s">
        <v>185</v>
      </c>
      <c r="Z35" s="309" t="s">
        <v>186</v>
      </c>
      <c r="AA35" s="309" t="str">
        <f t="shared" si="21"/>
        <v/>
      </c>
      <c r="AB35" s="305" t="s">
        <v>187</v>
      </c>
      <c r="AC35" s="306" t="str">
        <f t="shared" si="10"/>
        <v/>
      </c>
      <c r="AD35" s="515" t="str">
        <f t="shared" si="11"/>
        <v/>
      </c>
      <c r="AE35" s="307" t="str">
        <f>IFERROR(ROUNDDOWN(ROUNDDOWN(ROUND(L35*VLOOKUP(K35,【参考】数式用!$A$4:$F$57,MATCH("処遇改善加算Ⅳ",【参考】数式用!$C$3:$F$3,0)+2,0),0),0)*AA35*0.5,0), "")</f>
        <v/>
      </c>
      <c r="AF35" s="318"/>
      <c r="AG35" s="319"/>
      <c r="AH35" s="319"/>
      <c r="AI35" s="318"/>
      <c r="AJ35" s="320"/>
      <c r="AK35" s="326"/>
      <c r="AL35" s="324" t="str">
        <f t="shared" si="0"/>
        <v/>
      </c>
      <c r="AM35" s="325" t="str">
        <f t="shared" si="20"/>
        <v/>
      </c>
      <c r="AN35" s="255"/>
      <c r="AO35" s="557" t="str">
        <f>IFERROR(VLOOKUP(K35,【参考】数式用!$A$2:$N$57,14,FALSE),"")</f>
        <v/>
      </c>
      <c r="AP35" s="557" t="str">
        <f t="shared" si="1"/>
        <v/>
      </c>
      <c r="AQ35" s="561" t="str">
        <f t="shared" si="2"/>
        <v/>
      </c>
      <c r="AR35" s="540" t="str">
        <f t="shared" si="3"/>
        <v>入力済</v>
      </c>
      <c r="AS35" s="578" t="str">
        <f t="shared" si="12"/>
        <v/>
      </c>
      <c r="AT35" s="540" t="str">
        <f t="shared" si="4"/>
        <v>入力済</v>
      </c>
      <c r="AU35" s="540" t="str">
        <f t="shared" si="13"/>
        <v/>
      </c>
      <c r="AV35" s="540" t="str">
        <f t="shared" si="5"/>
        <v/>
      </c>
      <c r="AW35" s="557" t="str">
        <f t="shared" si="6"/>
        <v/>
      </c>
      <c r="AX35" s="578" t="str">
        <f t="shared" si="14"/>
        <v/>
      </c>
      <c r="AY35" s="540" t="str">
        <f>IFERROR(VLOOKUP(K35,【参考】数式用!$AR$5:$AS$39,2, FALSE), "")</f>
        <v/>
      </c>
      <c r="AZ35" s="557" t="str">
        <f t="shared" si="15"/>
        <v/>
      </c>
      <c r="BA35" s="560" t="str">
        <f t="shared" si="7"/>
        <v>入力済</v>
      </c>
      <c r="BB35" s="540" t="str">
        <f>IFERROR(VLOOKUP(K35,【参考】数式用!$AX$3:$AY$59, 2, FALSE), "")</f>
        <v/>
      </c>
      <c r="BC35" s="578" t="str">
        <f t="shared" si="16"/>
        <v/>
      </c>
      <c r="BD35" s="560" t="str">
        <f t="shared" si="8"/>
        <v>入力済</v>
      </c>
      <c r="BE35" s="577" t="str">
        <f t="shared" si="17"/>
        <v/>
      </c>
      <c r="BF35" s="560" t="str">
        <f t="shared" si="9"/>
        <v/>
      </c>
      <c r="BG35" s="612"/>
      <c r="BH35" s="593" t="str">
        <f t="shared" si="18"/>
        <v/>
      </c>
      <c r="BI35" s="616" t="str">
        <f>IF(BH35="Ⅱロ有り",ROUNDDOWN(L35*VLOOKUP(K35,【参考】数式用!$A$4:$J$42,10,FALSE)*AA35,0),"")</f>
        <v/>
      </c>
      <c r="BJ35" s="616" t="str">
        <f>IF(BH35="Ⅱロなし",ROUNDDOWN(L35*VLOOKUP(K35,【参考】数式用!$A$4:$J$42,8,FALSE)*AA35,0),"")</f>
        <v/>
      </c>
    </row>
    <row r="36" spans="1:62" s="257" customFormat="1" ht="109.9" customHeight="1" thickBot="1">
      <c r="A36" s="303">
        <v>23</v>
      </c>
      <c r="B36" s="956" t="str">
        <f>IF(基本情報入力シート!B58="","",基本情報入力シート!B58)</f>
        <v/>
      </c>
      <c r="C36" s="957"/>
      <c r="D36" s="957"/>
      <c r="E36" s="957"/>
      <c r="F36" s="958"/>
      <c r="G36" s="304" t="str">
        <f>IF(基本情報入力シート!L58="", "", 基本情報入力シート!L58)</f>
        <v/>
      </c>
      <c r="H36" s="304" t="str">
        <f>IF(基本情報入力シート!Q58="", "", 基本情報入力シート!Q58)</f>
        <v/>
      </c>
      <c r="I36" s="304" t="str">
        <f>IF(基本情報入力シート!V58="", "", 基本情報入力シート!V58)</f>
        <v/>
      </c>
      <c r="J36" s="304" t="str">
        <f>IF(基本情報入力シート!W58="", "", 基本情報入力シート!W58)</f>
        <v/>
      </c>
      <c r="K36" s="304" t="str">
        <f>IF(基本情報入力シート!Z58="", "", 基本情報入力シート!Z58)</f>
        <v/>
      </c>
      <c r="L36" s="558" t="str">
        <f>IF(基本情報入力シート!AF58=0, "",基本情報入力シート!AF58)</f>
        <v/>
      </c>
      <c r="M36" s="588"/>
      <c r="N36" s="522" t="str">
        <f>IFERROR(VLOOKUP(K36,【参考】数式用!$A$2:$F$57,MATCH(M36,【参考】数式用!$C$3:$F$3,0)+2,0),"")</f>
        <v/>
      </c>
      <c r="O36" s="511"/>
      <c r="P36" s="555" t="str">
        <f>IFERROR(VLOOKUP(K36,【参考】数式用!$A$2:$F$57,MATCH(O36,【参考】数式用!$C$3:$F$3,0)+2,0),"")</f>
        <v/>
      </c>
      <c r="Q36" s="310" t="s">
        <v>118</v>
      </c>
      <c r="R36" s="308"/>
      <c r="S36" s="309" t="s">
        <v>183</v>
      </c>
      <c r="T36" s="308"/>
      <c r="U36" s="309" t="s">
        <v>184</v>
      </c>
      <c r="V36" s="308"/>
      <c r="W36" s="309" t="s">
        <v>183</v>
      </c>
      <c r="X36" s="308"/>
      <c r="Y36" s="309" t="s">
        <v>185</v>
      </c>
      <c r="Z36" s="309" t="s">
        <v>186</v>
      </c>
      <c r="AA36" s="309" t="str">
        <f t="shared" si="21"/>
        <v/>
      </c>
      <c r="AB36" s="305" t="s">
        <v>187</v>
      </c>
      <c r="AC36" s="306" t="str">
        <f t="shared" si="10"/>
        <v/>
      </c>
      <c r="AD36" s="515" t="str">
        <f t="shared" si="11"/>
        <v/>
      </c>
      <c r="AE36" s="307" t="str">
        <f>IFERROR(ROUNDDOWN(ROUNDDOWN(ROUND(L36*VLOOKUP(K36,【参考】数式用!$A$4:$F$57,MATCH("処遇改善加算Ⅳ",【参考】数式用!$C$3:$F$3,0)+2,0),0),0)*AA36*0.5,0), "")</f>
        <v/>
      </c>
      <c r="AF36" s="318"/>
      <c r="AG36" s="319"/>
      <c r="AH36" s="319"/>
      <c r="AI36" s="318"/>
      <c r="AJ36" s="320"/>
      <c r="AK36" s="326"/>
      <c r="AL36" s="324" t="str">
        <f t="shared" si="0"/>
        <v/>
      </c>
      <c r="AM36" s="325" t="str">
        <f t="shared" si="20"/>
        <v/>
      </c>
      <c r="AN36" s="255"/>
      <c r="AO36" s="557" t="str">
        <f>IFERROR(VLOOKUP(K36,【参考】数式用!$A$2:$N$57,14,FALSE),"")</f>
        <v/>
      </c>
      <c r="AP36" s="557" t="str">
        <f t="shared" si="1"/>
        <v/>
      </c>
      <c r="AQ36" s="561" t="str">
        <f t="shared" si="2"/>
        <v/>
      </c>
      <c r="AR36" s="540" t="str">
        <f t="shared" si="3"/>
        <v>入力済</v>
      </c>
      <c r="AS36" s="578" t="str">
        <f t="shared" si="12"/>
        <v/>
      </c>
      <c r="AT36" s="540" t="str">
        <f t="shared" si="4"/>
        <v>入力済</v>
      </c>
      <c r="AU36" s="540" t="str">
        <f t="shared" si="13"/>
        <v/>
      </c>
      <c r="AV36" s="540" t="str">
        <f t="shared" si="5"/>
        <v/>
      </c>
      <c r="AW36" s="557" t="str">
        <f t="shared" si="6"/>
        <v/>
      </c>
      <c r="AX36" s="578" t="str">
        <f t="shared" si="14"/>
        <v/>
      </c>
      <c r="AY36" s="540" t="str">
        <f>IFERROR(VLOOKUP(K36,【参考】数式用!$AR$5:$AS$39,2, FALSE), "")</f>
        <v/>
      </c>
      <c r="AZ36" s="557" t="str">
        <f t="shared" si="15"/>
        <v/>
      </c>
      <c r="BA36" s="560" t="str">
        <f t="shared" si="7"/>
        <v>入力済</v>
      </c>
      <c r="BB36" s="540" t="str">
        <f>IFERROR(VLOOKUP(K36,【参考】数式用!$AX$3:$AY$59, 2, FALSE), "")</f>
        <v/>
      </c>
      <c r="BC36" s="578" t="str">
        <f t="shared" si="16"/>
        <v/>
      </c>
      <c r="BD36" s="560" t="str">
        <f t="shared" si="8"/>
        <v>入力済</v>
      </c>
      <c r="BE36" s="577" t="str">
        <f t="shared" si="17"/>
        <v/>
      </c>
      <c r="BF36" s="560" t="str">
        <f t="shared" si="9"/>
        <v/>
      </c>
      <c r="BG36" s="612"/>
      <c r="BH36" s="593" t="str">
        <f t="shared" si="18"/>
        <v/>
      </c>
      <c r="BI36" s="616" t="str">
        <f>IF(BH36="Ⅱロ有り",ROUNDDOWN(L36*VLOOKUP(K36,【参考】数式用!$A$4:$J$42,10,FALSE)*AA36,0),"")</f>
        <v/>
      </c>
      <c r="BJ36" s="616" t="str">
        <f>IF(BH36="Ⅱロなし",ROUNDDOWN(L36*VLOOKUP(K36,【参考】数式用!$A$4:$J$42,8,FALSE)*AA36,0),"")</f>
        <v/>
      </c>
    </row>
    <row r="37" spans="1:62" s="257" customFormat="1" ht="109.9" customHeight="1" thickBot="1">
      <c r="A37" s="303">
        <v>24</v>
      </c>
      <c r="B37" s="956" t="str">
        <f>IF(基本情報入力シート!B59="","",基本情報入力シート!B59)</f>
        <v/>
      </c>
      <c r="C37" s="957"/>
      <c r="D37" s="957"/>
      <c r="E37" s="957"/>
      <c r="F37" s="958"/>
      <c r="G37" s="304" t="str">
        <f>IF(基本情報入力シート!L59="", "", 基本情報入力シート!L59)</f>
        <v/>
      </c>
      <c r="H37" s="304" t="str">
        <f>IF(基本情報入力シート!Q59="", "", 基本情報入力シート!Q59)</f>
        <v/>
      </c>
      <c r="I37" s="304" t="str">
        <f>IF(基本情報入力シート!V59="", "", 基本情報入力シート!V59)</f>
        <v/>
      </c>
      <c r="J37" s="304" t="str">
        <f>IF(基本情報入力シート!W59="", "", 基本情報入力シート!W59)</f>
        <v/>
      </c>
      <c r="K37" s="304" t="str">
        <f>IF(基本情報入力シート!Z59="", "", 基本情報入力シート!Z59)</f>
        <v/>
      </c>
      <c r="L37" s="558" t="str">
        <f>IF(基本情報入力シート!AF59=0, "",基本情報入力シート!AF59)</f>
        <v/>
      </c>
      <c r="M37" s="588"/>
      <c r="N37" s="522" t="str">
        <f>IFERROR(VLOOKUP(K37,【参考】数式用!$A$2:$F$57,MATCH(M37,【参考】数式用!$C$3:$F$3,0)+2,0),"")</f>
        <v/>
      </c>
      <c r="O37" s="511"/>
      <c r="P37" s="555" t="str">
        <f>IFERROR(VLOOKUP(K37,【参考】数式用!$A$2:$F$57,MATCH(O37,【参考】数式用!$C$3:$F$3,0)+2,0),"")</f>
        <v/>
      </c>
      <c r="Q37" s="310" t="s">
        <v>118</v>
      </c>
      <c r="R37" s="308"/>
      <c r="S37" s="309" t="s">
        <v>183</v>
      </c>
      <c r="T37" s="308"/>
      <c r="U37" s="309" t="s">
        <v>184</v>
      </c>
      <c r="V37" s="308"/>
      <c r="W37" s="309" t="s">
        <v>183</v>
      </c>
      <c r="X37" s="308"/>
      <c r="Y37" s="309" t="s">
        <v>185</v>
      </c>
      <c r="Z37" s="309" t="s">
        <v>186</v>
      </c>
      <c r="AA37" s="309" t="str">
        <f t="shared" si="21"/>
        <v/>
      </c>
      <c r="AB37" s="305" t="s">
        <v>187</v>
      </c>
      <c r="AC37" s="306" t="str">
        <f t="shared" si="10"/>
        <v/>
      </c>
      <c r="AD37" s="515" t="str">
        <f t="shared" si="11"/>
        <v/>
      </c>
      <c r="AE37" s="307" t="str">
        <f>IFERROR(ROUNDDOWN(ROUNDDOWN(ROUND(L37*VLOOKUP(K37,【参考】数式用!$A$4:$F$57,MATCH("処遇改善加算Ⅳ",【参考】数式用!$C$3:$F$3,0)+2,0),0),0)*AA37*0.5,0), "")</f>
        <v/>
      </c>
      <c r="AF37" s="318"/>
      <c r="AG37" s="319"/>
      <c r="AH37" s="319"/>
      <c r="AI37" s="318"/>
      <c r="AJ37" s="320"/>
      <c r="AK37" s="326"/>
      <c r="AL37" s="324" t="str">
        <f t="shared" si="0"/>
        <v/>
      </c>
      <c r="AM37" s="325" t="str">
        <f t="shared" si="20"/>
        <v/>
      </c>
      <c r="AN37" s="255"/>
      <c r="AO37" s="557" t="str">
        <f>IFERROR(VLOOKUP(K37,【参考】数式用!$A$2:$N$57,14,FALSE),"")</f>
        <v/>
      </c>
      <c r="AP37" s="557" t="str">
        <f t="shared" si="1"/>
        <v/>
      </c>
      <c r="AQ37" s="561" t="str">
        <f t="shared" si="2"/>
        <v/>
      </c>
      <c r="AR37" s="540" t="str">
        <f t="shared" si="3"/>
        <v>入力済</v>
      </c>
      <c r="AS37" s="578" t="str">
        <f t="shared" si="12"/>
        <v/>
      </c>
      <c r="AT37" s="540" t="str">
        <f t="shared" si="4"/>
        <v>入力済</v>
      </c>
      <c r="AU37" s="540" t="str">
        <f t="shared" si="13"/>
        <v/>
      </c>
      <c r="AV37" s="540" t="str">
        <f t="shared" si="5"/>
        <v/>
      </c>
      <c r="AW37" s="557" t="str">
        <f t="shared" si="6"/>
        <v/>
      </c>
      <c r="AX37" s="578" t="str">
        <f t="shared" si="14"/>
        <v/>
      </c>
      <c r="AY37" s="540" t="str">
        <f>IFERROR(VLOOKUP(K37,【参考】数式用!$AR$5:$AS$39,2, FALSE), "")</f>
        <v/>
      </c>
      <c r="AZ37" s="557" t="str">
        <f t="shared" si="15"/>
        <v/>
      </c>
      <c r="BA37" s="560" t="str">
        <f t="shared" si="7"/>
        <v>入力済</v>
      </c>
      <c r="BB37" s="540" t="str">
        <f>IFERROR(VLOOKUP(K37,【参考】数式用!$AX$3:$AY$59, 2, FALSE), "")</f>
        <v/>
      </c>
      <c r="BC37" s="578" t="str">
        <f t="shared" si="16"/>
        <v/>
      </c>
      <c r="BD37" s="560" t="str">
        <f t="shared" si="8"/>
        <v>入力済</v>
      </c>
      <c r="BE37" s="577" t="str">
        <f t="shared" si="17"/>
        <v/>
      </c>
      <c r="BF37" s="560" t="str">
        <f t="shared" si="9"/>
        <v/>
      </c>
      <c r="BG37" s="612"/>
      <c r="BH37" s="593" t="str">
        <f t="shared" si="18"/>
        <v/>
      </c>
      <c r="BI37" s="616" t="str">
        <f>IF(BH37="Ⅱロ有り",ROUNDDOWN(L37*VLOOKUP(K37,【参考】数式用!$A$4:$J$42,10,FALSE)*AA37,0),"")</f>
        <v/>
      </c>
      <c r="BJ37" s="616" t="str">
        <f>IF(BH37="Ⅱロなし",ROUNDDOWN(L37*VLOOKUP(K37,【参考】数式用!$A$4:$J$42,8,FALSE)*AA37,0),"")</f>
        <v/>
      </c>
    </row>
    <row r="38" spans="1:62" s="257" customFormat="1" ht="109.9" customHeight="1" thickBot="1">
      <c r="A38" s="303">
        <v>25</v>
      </c>
      <c r="B38" s="956" t="str">
        <f>IF(基本情報入力シート!B60="","",基本情報入力シート!B60)</f>
        <v/>
      </c>
      <c r="C38" s="957"/>
      <c r="D38" s="957"/>
      <c r="E38" s="957"/>
      <c r="F38" s="958"/>
      <c r="G38" s="304" t="str">
        <f>IF(基本情報入力シート!L60="", "", 基本情報入力シート!L60)</f>
        <v/>
      </c>
      <c r="H38" s="304" t="str">
        <f>IF(基本情報入力シート!Q60="", "", 基本情報入力シート!Q60)</f>
        <v/>
      </c>
      <c r="I38" s="304" t="str">
        <f>IF(基本情報入力シート!V60="", "", 基本情報入力シート!V60)</f>
        <v/>
      </c>
      <c r="J38" s="304" t="str">
        <f>IF(基本情報入力シート!W60="", "", 基本情報入力シート!W60)</f>
        <v/>
      </c>
      <c r="K38" s="304" t="str">
        <f>IF(基本情報入力シート!Z60="", "", 基本情報入力シート!Z60)</f>
        <v/>
      </c>
      <c r="L38" s="558" t="str">
        <f>IF(基本情報入力シート!AF60=0, "",基本情報入力シート!AF60)</f>
        <v/>
      </c>
      <c r="M38" s="588"/>
      <c r="N38" s="522" t="str">
        <f>IFERROR(VLOOKUP(K38,【参考】数式用!$A$2:$F$57,MATCH(M38,【参考】数式用!$C$3:$F$3,0)+2,0),"")</f>
        <v/>
      </c>
      <c r="O38" s="511"/>
      <c r="P38" s="555" t="str">
        <f>IFERROR(VLOOKUP(K38,【参考】数式用!$A$2:$F$57,MATCH(O38,【参考】数式用!$C$3:$F$3,0)+2,0),"")</f>
        <v/>
      </c>
      <c r="Q38" s="310" t="s">
        <v>118</v>
      </c>
      <c r="R38" s="308"/>
      <c r="S38" s="309" t="s">
        <v>183</v>
      </c>
      <c r="T38" s="308"/>
      <c r="U38" s="309" t="s">
        <v>184</v>
      </c>
      <c r="V38" s="308"/>
      <c r="W38" s="309" t="s">
        <v>183</v>
      </c>
      <c r="X38" s="308"/>
      <c r="Y38" s="309" t="s">
        <v>185</v>
      </c>
      <c r="Z38" s="309" t="s">
        <v>186</v>
      </c>
      <c r="AA38" s="309" t="str">
        <f t="shared" si="21"/>
        <v/>
      </c>
      <c r="AB38" s="305" t="s">
        <v>187</v>
      </c>
      <c r="AC38" s="306" t="str">
        <f t="shared" si="10"/>
        <v/>
      </c>
      <c r="AD38" s="515" t="str">
        <f t="shared" si="11"/>
        <v/>
      </c>
      <c r="AE38" s="307" t="str">
        <f>IFERROR(ROUNDDOWN(ROUNDDOWN(ROUND(L38*VLOOKUP(K38,【参考】数式用!$A$4:$F$57,MATCH("処遇改善加算Ⅳ",【参考】数式用!$C$3:$F$3,0)+2,0),0),0)*AA38*0.5,0), "")</f>
        <v/>
      </c>
      <c r="AF38" s="318"/>
      <c r="AG38" s="319"/>
      <c r="AH38" s="319"/>
      <c r="AI38" s="318"/>
      <c r="AJ38" s="320"/>
      <c r="AK38" s="326"/>
      <c r="AL38" s="324" t="str">
        <f t="shared" si="0"/>
        <v/>
      </c>
      <c r="AM38" s="325" t="str">
        <f t="shared" si="20"/>
        <v/>
      </c>
      <c r="AN38" s="255"/>
      <c r="AO38" s="557" t="str">
        <f>IFERROR(VLOOKUP(K38,【参考】数式用!$A$2:$N$57,14,FALSE),"")</f>
        <v/>
      </c>
      <c r="AP38" s="557" t="str">
        <f t="shared" si="1"/>
        <v/>
      </c>
      <c r="AQ38" s="561" t="str">
        <f t="shared" si="2"/>
        <v/>
      </c>
      <c r="AR38" s="540" t="str">
        <f t="shared" si="3"/>
        <v>入力済</v>
      </c>
      <c r="AS38" s="578" t="str">
        <f t="shared" si="12"/>
        <v/>
      </c>
      <c r="AT38" s="540" t="str">
        <f t="shared" si="4"/>
        <v>入力済</v>
      </c>
      <c r="AU38" s="540" t="str">
        <f t="shared" si="13"/>
        <v/>
      </c>
      <c r="AV38" s="540" t="str">
        <f t="shared" si="5"/>
        <v/>
      </c>
      <c r="AW38" s="557" t="str">
        <f t="shared" si="6"/>
        <v/>
      </c>
      <c r="AX38" s="578" t="str">
        <f t="shared" si="14"/>
        <v/>
      </c>
      <c r="AY38" s="540" t="str">
        <f>IFERROR(VLOOKUP(K38,【参考】数式用!$AR$5:$AS$39,2, FALSE), "")</f>
        <v/>
      </c>
      <c r="AZ38" s="557" t="str">
        <f t="shared" si="15"/>
        <v/>
      </c>
      <c r="BA38" s="560" t="str">
        <f t="shared" si="7"/>
        <v>入力済</v>
      </c>
      <c r="BB38" s="540" t="str">
        <f>IFERROR(VLOOKUP(K38,【参考】数式用!$AX$3:$AY$59, 2, FALSE), "")</f>
        <v/>
      </c>
      <c r="BC38" s="578" t="str">
        <f t="shared" si="16"/>
        <v/>
      </c>
      <c r="BD38" s="560" t="str">
        <f t="shared" si="8"/>
        <v>入力済</v>
      </c>
      <c r="BE38" s="577" t="str">
        <f t="shared" si="17"/>
        <v/>
      </c>
      <c r="BF38" s="560" t="str">
        <f t="shared" si="9"/>
        <v/>
      </c>
      <c r="BG38" s="612"/>
      <c r="BH38" s="593" t="str">
        <f t="shared" si="18"/>
        <v/>
      </c>
      <c r="BI38" s="616" t="str">
        <f>IF(BH38="Ⅱロ有り",ROUNDDOWN(L38*VLOOKUP(K38,【参考】数式用!$A$4:$J$42,10,FALSE)*AA38,0),"")</f>
        <v/>
      </c>
      <c r="BJ38" s="616" t="str">
        <f>IF(BH38="Ⅱロなし",ROUNDDOWN(L38*VLOOKUP(K38,【参考】数式用!$A$4:$J$42,8,FALSE)*AA38,0),"")</f>
        <v/>
      </c>
    </row>
    <row r="39" spans="1:62" s="257" customFormat="1" ht="109.9" customHeight="1" thickBot="1">
      <c r="A39" s="303">
        <v>26</v>
      </c>
      <c r="B39" s="956" t="str">
        <f>IF(基本情報入力シート!B61="","",基本情報入力シート!B61)</f>
        <v/>
      </c>
      <c r="C39" s="957"/>
      <c r="D39" s="957"/>
      <c r="E39" s="957"/>
      <c r="F39" s="958"/>
      <c r="G39" s="304" t="str">
        <f>IF(基本情報入力シート!L61="", "", 基本情報入力シート!L61)</f>
        <v/>
      </c>
      <c r="H39" s="304" t="str">
        <f>IF(基本情報入力シート!Q61="", "", 基本情報入力シート!Q61)</f>
        <v/>
      </c>
      <c r="I39" s="304" t="str">
        <f>IF(基本情報入力シート!V61="", "", 基本情報入力シート!V61)</f>
        <v/>
      </c>
      <c r="J39" s="304" t="str">
        <f>IF(基本情報入力シート!W61="", "", 基本情報入力シート!W61)</f>
        <v/>
      </c>
      <c r="K39" s="304" t="str">
        <f>IF(基本情報入力シート!Z61="", "", 基本情報入力シート!Z61)</f>
        <v/>
      </c>
      <c r="L39" s="558" t="str">
        <f>IF(基本情報入力シート!AF61=0, "",基本情報入力シート!AF61)</f>
        <v/>
      </c>
      <c r="M39" s="588"/>
      <c r="N39" s="522" t="str">
        <f>IFERROR(VLOOKUP(K39,【参考】数式用!$A$2:$F$57,MATCH(M39,【参考】数式用!$C$3:$F$3,0)+2,0),"")</f>
        <v/>
      </c>
      <c r="O39" s="511"/>
      <c r="P39" s="555" t="str">
        <f>IFERROR(VLOOKUP(K39,【参考】数式用!$A$2:$F$57,MATCH(O39,【参考】数式用!$C$3:$F$3,0)+2,0),"")</f>
        <v/>
      </c>
      <c r="Q39" s="310" t="s">
        <v>118</v>
      </c>
      <c r="R39" s="308"/>
      <c r="S39" s="309" t="s">
        <v>183</v>
      </c>
      <c r="T39" s="308"/>
      <c r="U39" s="309" t="s">
        <v>184</v>
      </c>
      <c r="V39" s="308"/>
      <c r="W39" s="309" t="s">
        <v>183</v>
      </c>
      <c r="X39" s="308"/>
      <c r="Y39" s="309" t="s">
        <v>185</v>
      </c>
      <c r="Z39" s="309" t="s">
        <v>186</v>
      </c>
      <c r="AA39" s="309" t="str">
        <f t="shared" si="21"/>
        <v/>
      </c>
      <c r="AB39" s="305" t="s">
        <v>187</v>
      </c>
      <c r="AC39" s="306" t="str">
        <f t="shared" si="10"/>
        <v/>
      </c>
      <c r="AD39" s="515" t="str">
        <f t="shared" si="11"/>
        <v/>
      </c>
      <c r="AE39" s="307" t="str">
        <f>IFERROR(ROUNDDOWN(ROUNDDOWN(ROUND(L39*VLOOKUP(K39,【参考】数式用!$A$4:$F$57,MATCH("処遇改善加算Ⅳ",【参考】数式用!$C$3:$F$3,0)+2,0),0),0)*AA39*0.5,0), "")</f>
        <v/>
      </c>
      <c r="AF39" s="318"/>
      <c r="AG39" s="319"/>
      <c r="AH39" s="319"/>
      <c r="AI39" s="318"/>
      <c r="AJ39" s="320"/>
      <c r="AK39" s="326"/>
      <c r="AL39" s="324" t="str">
        <f t="shared" si="0"/>
        <v/>
      </c>
      <c r="AM39" s="325" t="str">
        <f t="shared" si="20"/>
        <v/>
      </c>
      <c r="AN39" s="255"/>
      <c r="AO39" s="557" t="str">
        <f>IFERROR(VLOOKUP(K39,【参考】数式用!$A$2:$N$57,14,FALSE),"")</f>
        <v/>
      </c>
      <c r="AP39" s="557" t="str">
        <f t="shared" si="1"/>
        <v/>
      </c>
      <c r="AQ39" s="561" t="str">
        <f t="shared" si="2"/>
        <v/>
      </c>
      <c r="AR39" s="540" t="str">
        <f t="shared" si="3"/>
        <v>入力済</v>
      </c>
      <c r="AS39" s="578" t="str">
        <f t="shared" si="12"/>
        <v/>
      </c>
      <c r="AT39" s="540" t="str">
        <f t="shared" si="4"/>
        <v>入力済</v>
      </c>
      <c r="AU39" s="540" t="str">
        <f t="shared" si="13"/>
        <v/>
      </c>
      <c r="AV39" s="540" t="str">
        <f t="shared" si="5"/>
        <v/>
      </c>
      <c r="AW39" s="557" t="str">
        <f t="shared" si="6"/>
        <v/>
      </c>
      <c r="AX39" s="578" t="str">
        <f t="shared" si="14"/>
        <v/>
      </c>
      <c r="AY39" s="540" t="str">
        <f>IFERROR(VLOOKUP(K39,【参考】数式用!$AR$5:$AS$39,2, FALSE), "")</f>
        <v/>
      </c>
      <c r="AZ39" s="557" t="str">
        <f t="shared" si="15"/>
        <v/>
      </c>
      <c r="BA39" s="560" t="str">
        <f t="shared" si="7"/>
        <v>入力済</v>
      </c>
      <c r="BB39" s="540" t="str">
        <f>IFERROR(VLOOKUP(K39,【参考】数式用!$AX$3:$AY$59, 2, FALSE), "")</f>
        <v/>
      </c>
      <c r="BC39" s="578" t="str">
        <f t="shared" si="16"/>
        <v/>
      </c>
      <c r="BD39" s="560" t="str">
        <f t="shared" si="8"/>
        <v>入力済</v>
      </c>
      <c r="BE39" s="577" t="str">
        <f t="shared" si="17"/>
        <v/>
      </c>
      <c r="BF39" s="560" t="str">
        <f t="shared" si="9"/>
        <v/>
      </c>
      <c r="BG39" s="612"/>
      <c r="BH39" s="593" t="str">
        <f t="shared" si="18"/>
        <v/>
      </c>
      <c r="BI39" s="616" t="str">
        <f>IF(BH39="Ⅱロ有り",ROUNDDOWN(L39*VLOOKUP(K39,【参考】数式用!$A$4:$J$42,10,FALSE)*AA39,0),"")</f>
        <v/>
      </c>
      <c r="BJ39" s="616" t="str">
        <f>IF(BH39="Ⅱロなし",ROUNDDOWN(L39*VLOOKUP(K39,【参考】数式用!$A$4:$J$42,8,FALSE)*AA39,0),"")</f>
        <v/>
      </c>
    </row>
    <row r="40" spans="1:62" s="257" customFormat="1" ht="109.9" customHeight="1" thickBot="1">
      <c r="A40" s="303">
        <v>27</v>
      </c>
      <c r="B40" s="956" t="str">
        <f>IF(基本情報入力シート!B62="","",基本情報入力シート!B62)</f>
        <v/>
      </c>
      <c r="C40" s="957"/>
      <c r="D40" s="957"/>
      <c r="E40" s="957"/>
      <c r="F40" s="958"/>
      <c r="G40" s="304" t="str">
        <f>IF(基本情報入力シート!L62="", "", 基本情報入力シート!L62)</f>
        <v/>
      </c>
      <c r="H40" s="304" t="str">
        <f>IF(基本情報入力シート!Q62="", "", 基本情報入力シート!Q62)</f>
        <v/>
      </c>
      <c r="I40" s="304" t="str">
        <f>IF(基本情報入力シート!V62="", "", 基本情報入力シート!V62)</f>
        <v/>
      </c>
      <c r="J40" s="304" t="str">
        <f>IF(基本情報入力シート!W62="", "", 基本情報入力シート!W62)</f>
        <v/>
      </c>
      <c r="K40" s="304" t="str">
        <f>IF(基本情報入力シート!Z62="", "", 基本情報入力シート!Z62)</f>
        <v/>
      </c>
      <c r="L40" s="558" t="str">
        <f>IF(基本情報入力シート!AF62=0, "",基本情報入力シート!AF62)</f>
        <v/>
      </c>
      <c r="M40" s="588"/>
      <c r="N40" s="522" t="str">
        <f>IFERROR(VLOOKUP(K40,【参考】数式用!$A$2:$F$57,MATCH(M40,【参考】数式用!$C$3:$F$3,0)+2,0),"")</f>
        <v/>
      </c>
      <c r="O40" s="511"/>
      <c r="P40" s="555" t="str">
        <f>IFERROR(VLOOKUP(K40,【参考】数式用!$A$2:$F$57,MATCH(O40,【参考】数式用!$C$3:$F$3,0)+2,0),"")</f>
        <v/>
      </c>
      <c r="Q40" s="310" t="s">
        <v>118</v>
      </c>
      <c r="R40" s="308"/>
      <c r="S40" s="309" t="s">
        <v>183</v>
      </c>
      <c r="T40" s="308"/>
      <c r="U40" s="309" t="s">
        <v>184</v>
      </c>
      <c r="V40" s="308"/>
      <c r="W40" s="309" t="s">
        <v>183</v>
      </c>
      <c r="X40" s="308"/>
      <c r="Y40" s="309" t="s">
        <v>185</v>
      </c>
      <c r="Z40" s="309" t="s">
        <v>186</v>
      </c>
      <c r="AA40" s="309" t="str">
        <f t="shared" si="21"/>
        <v/>
      </c>
      <c r="AB40" s="305" t="s">
        <v>187</v>
      </c>
      <c r="AC40" s="306" t="str">
        <f t="shared" si="10"/>
        <v/>
      </c>
      <c r="AD40" s="515" t="str">
        <f t="shared" si="11"/>
        <v/>
      </c>
      <c r="AE40" s="307" t="str">
        <f>IFERROR(ROUNDDOWN(ROUNDDOWN(ROUND(L40*VLOOKUP(K40,【参考】数式用!$A$4:$F$57,MATCH("処遇改善加算Ⅳ",【参考】数式用!$C$3:$F$3,0)+2,0),0),0)*AA40*0.5,0), "")</f>
        <v/>
      </c>
      <c r="AF40" s="318"/>
      <c r="AG40" s="319"/>
      <c r="AH40" s="319"/>
      <c r="AI40" s="318"/>
      <c r="AJ40" s="320"/>
      <c r="AK40" s="326"/>
      <c r="AL40" s="324" t="str">
        <f t="shared" si="0"/>
        <v/>
      </c>
      <c r="AM40" s="325" t="str">
        <f t="shared" si="20"/>
        <v/>
      </c>
      <c r="AN40" s="255"/>
      <c r="AO40" s="557" t="str">
        <f>IFERROR(VLOOKUP(K40,【参考】数式用!$A$2:$N$57,14,FALSE),"")</f>
        <v/>
      </c>
      <c r="AP40" s="557" t="str">
        <f t="shared" si="1"/>
        <v/>
      </c>
      <c r="AQ40" s="561" t="str">
        <f t="shared" si="2"/>
        <v/>
      </c>
      <c r="AR40" s="540" t="str">
        <f t="shared" si="3"/>
        <v>入力済</v>
      </c>
      <c r="AS40" s="578" t="str">
        <f t="shared" si="12"/>
        <v/>
      </c>
      <c r="AT40" s="540" t="str">
        <f t="shared" si="4"/>
        <v>入力済</v>
      </c>
      <c r="AU40" s="540" t="str">
        <f t="shared" si="13"/>
        <v/>
      </c>
      <c r="AV40" s="540" t="str">
        <f t="shared" si="5"/>
        <v/>
      </c>
      <c r="AW40" s="557" t="str">
        <f t="shared" si="6"/>
        <v/>
      </c>
      <c r="AX40" s="578" t="str">
        <f t="shared" si="14"/>
        <v/>
      </c>
      <c r="AY40" s="540" t="str">
        <f>IFERROR(VLOOKUP(K40,【参考】数式用!$AR$5:$AS$39,2, FALSE), "")</f>
        <v/>
      </c>
      <c r="AZ40" s="557" t="str">
        <f t="shared" si="15"/>
        <v/>
      </c>
      <c r="BA40" s="560" t="str">
        <f t="shared" si="7"/>
        <v>入力済</v>
      </c>
      <c r="BB40" s="540" t="str">
        <f>IFERROR(VLOOKUP(K40,【参考】数式用!$AX$3:$AY$59, 2, FALSE), "")</f>
        <v/>
      </c>
      <c r="BC40" s="578" t="str">
        <f t="shared" si="16"/>
        <v/>
      </c>
      <c r="BD40" s="560" t="str">
        <f t="shared" si="8"/>
        <v>入力済</v>
      </c>
      <c r="BE40" s="577" t="str">
        <f t="shared" si="17"/>
        <v/>
      </c>
      <c r="BF40" s="560" t="str">
        <f t="shared" si="9"/>
        <v/>
      </c>
      <c r="BG40" s="612"/>
      <c r="BH40" s="593" t="str">
        <f t="shared" si="18"/>
        <v/>
      </c>
      <c r="BI40" s="616" t="str">
        <f>IF(BH40="Ⅱロ有り",ROUNDDOWN(L40*VLOOKUP(K40,【参考】数式用!$A$4:$J$42,10,FALSE)*AA40,0),"")</f>
        <v/>
      </c>
      <c r="BJ40" s="616" t="str">
        <f>IF(BH40="Ⅱロなし",ROUNDDOWN(L40*VLOOKUP(K40,【参考】数式用!$A$4:$J$42,8,FALSE)*AA40,0),"")</f>
        <v/>
      </c>
    </row>
    <row r="41" spans="1:62" s="257" customFormat="1" ht="109.9" customHeight="1" thickBot="1">
      <c r="A41" s="303">
        <v>28</v>
      </c>
      <c r="B41" s="956" t="str">
        <f>IF(基本情報入力シート!B63="","",基本情報入力シート!B63)</f>
        <v/>
      </c>
      <c r="C41" s="957"/>
      <c r="D41" s="957"/>
      <c r="E41" s="957"/>
      <c r="F41" s="958"/>
      <c r="G41" s="304" t="str">
        <f>IF(基本情報入力シート!L63="", "", 基本情報入力シート!L63)</f>
        <v/>
      </c>
      <c r="H41" s="304" t="str">
        <f>IF(基本情報入力シート!Q63="", "", 基本情報入力シート!Q63)</f>
        <v/>
      </c>
      <c r="I41" s="304" t="str">
        <f>IF(基本情報入力シート!V63="", "", 基本情報入力シート!V63)</f>
        <v/>
      </c>
      <c r="J41" s="304" t="str">
        <f>IF(基本情報入力シート!W63="", "", 基本情報入力シート!W63)</f>
        <v/>
      </c>
      <c r="K41" s="304" t="str">
        <f>IF(基本情報入力シート!Z63="", "", 基本情報入力シート!Z63)</f>
        <v/>
      </c>
      <c r="L41" s="558" t="str">
        <f>IF(基本情報入力シート!AF63=0, "",基本情報入力シート!AF63)</f>
        <v/>
      </c>
      <c r="M41" s="588"/>
      <c r="N41" s="522" t="str">
        <f>IFERROR(VLOOKUP(K41,【参考】数式用!$A$2:$F$57,MATCH(M41,【参考】数式用!$C$3:$F$3,0)+2,0),"")</f>
        <v/>
      </c>
      <c r="O41" s="511"/>
      <c r="P41" s="555" t="str">
        <f>IFERROR(VLOOKUP(K41,【参考】数式用!$A$2:$F$57,MATCH(O41,【参考】数式用!$C$3:$F$3,0)+2,0),"")</f>
        <v/>
      </c>
      <c r="Q41" s="310" t="s">
        <v>118</v>
      </c>
      <c r="R41" s="308"/>
      <c r="S41" s="309" t="s">
        <v>183</v>
      </c>
      <c r="T41" s="308"/>
      <c r="U41" s="309" t="s">
        <v>184</v>
      </c>
      <c r="V41" s="308"/>
      <c r="W41" s="309" t="s">
        <v>183</v>
      </c>
      <c r="X41" s="308"/>
      <c r="Y41" s="309" t="s">
        <v>185</v>
      </c>
      <c r="Z41" s="309" t="s">
        <v>186</v>
      </c>
      <c r="AA41" s="309" t="str">
        <f t="shared" si="21"/>
        <v/>
      </c>
      <c r="AB41" s="305" t="s">
        <v>187</v>
      </c>
      <c r="AC41" s="306" t="str">
        <f t="shared" si="10"/>
        <v/>
      </c>
      <c r="AD41" s="515" t="str">
        <f t="shared" si="11"/>
        <v/>
      </c>
      <c r="AE41" s="307" t="str">
        <f>IFERROR(ROUNDDOWN(ROUNDDOWN(ROUND(L41*VLOOKUP(K41,【参考】数式用!$A$4:$F$57,MATCH("処遇改善加算Ⅳ",【参考】数式用!$C$3:$F$3,0)+2,0),0),0)*AA41*0.5,0), "")</f>
        <v/>
      </c>
      <c r="AF41" s="318"/>
      <c r="AG41" s="319"/>
      <c r="AH41" s="319"/>
      <c r="AI41" s="318"/>
      <c r="AJ41" s="320"/>
      <c r="AK41" s="326"/>
      <c r="AL41" s="324" t="str">
        <f t="shared" si="0"/>
        <v/>
      </c>
      <c r="AM41" s="325" t="str">
        <f t="shared" si="20"/>
        <v/>
      </c>
      <c r="AN41" s="255"/>
      <c r="AO41" s="557" t="str">
        <f>IFERROR(VLOOKUP(K41,【参考】数式用!$A$2:$N$57,14,FALSE),"")</f>
        <v/>
      </c>
      <c r="AP41" s="557" t="str">
        <f t="shared" si="1"/>
        <v/>
      </c>
      <c r="AQ41" s="561" t="str">
        <f t="shared" si="2"/>
        <v/>
      </c>
      <c r="AR41" s="540" t="str">
        <f t="shared" si="3"/>
        <v>入力済</v>
      </c>
      <c r="AS41" s="578" t="str">
        <f t="shared" si="12"/>
        <v/>
      </c>
      <c r="AT41" s="540" t="str">
        <f t="shared" si="4"/>
        <v>入力済</v>
      </c>
      <c r="AU41" s="540" t="str">
        <f t="shared" si="13"/>
        <v/>
      </c>
      <c r="AV41" s="540" t="str">
        <f t="shared" si="5"/>
        <v/>
      </c>
      <c r="AW41" s="557" t="str">
        <f t="shared" si="6"/>
        <v/>
      </c>
      <c r="AX41" s="578" t="str">
        <f t="shared" si="14"/>
        <v/>
      </c>
      <c r="AY41" s="540" t="str">
        <f>IFERROR(VLOOKUP(K41,【参考】数式用!$AR$5:$AS$39,2, FALSE), "")</f>
        <v/>
      </c>
      <c r="AZ41" s="557" t="str">
        <f t="shared" si="15"/>
        <v/>
      </c>
      <c r="BA41" s="560" t="str">
        <f t="shared" si="7"/>
        <v>入力済</v>
      </c>
      <c r="BB41" s="540" t="str">
        <f>IFERROR(VLOOKUP(K41,【参考】数式用!$AX$3:$AY$59, 2, FALSE), "")</f>
        <v/>
      </c>
      <c r="BC41" s="578" t="str">
        <f t="shared" si="16"/>
        <v/>
      </c>
      <c r="BD41" s="560" t="str">
        <f t="shared" si="8"/>
        <v>入力済</v>
      </c>
      <c r="BE41" s="577" t="str">
        <f t="shared" si="17"/>
        <v/>
      </c>
      <c r="BF41" s="560" t="str">
        <f t="shared" si="9"/>
        <v/>
      </c>
      <c r="BG41" s="612"/>
      <c r="BH41" s="593" t="str">
        <f t="shared" si="18"/>
        <v/>
      </c>
      <c r="BI41" s="616" t="str">
        <f>IF(BH41="Ⅱロ有り",ROUNDDOWN(L41*VLOOKUP(K41,【参考】数式用!$A$4:$J$42,10,FALSE)*AA41,0),"")</f>
        <v/>
      </c>
      <c r="BJ41" s="616" t="str">
        <f>IF(BH41="Ⅱロなし",ROUNDDOWN(L41*VLOOKUP(K41,【参考】数式用!$A$4:$J$42,8,FALSE)*AA41,0),"")</f>
        <v/>
      </c>
    </row>
    <row r="42" spans="1:62" ht="109.9" customHeight="1" thickBot="1">
      <c r="A42" s="303">
        <v>29</v>
      </c>
      <c r="B42" s="956" t="str">
        <f>IF(基本情報入力シート!B64="","",基本情報入力シート!B64)</f>
        <v/>
      </c>
      <c r="C42" s="957"/>
      <c r="D42" s="957"/>
      <c r="E42" s="957"/>
      <c r="F42" s="958"/>
      <c r="G42" s="304" t="str">
        <f>IF(基本情報入力シート!L64="", "", 基本情報入力シート!L64)</f>
        <v/>
      </c>
      <c r="H42" s="304" t="str">
        <f>IF(基本情報入力シート!Q64="", "", 基本情報入力シート!Q64)</f>
        <v/>
      </c>
      <c r="I42" s="304" t="str">
        <f>IF(基本情報入力シート!V64="", "", 基本情報入力シート!V64)</f>
        <v/>
      </c>
      <c r="J42" s="304" t="str">
        <f>IF(基本情報入力シート!W64="", "", 基本情報入力シート!W64)</f>
        <v/>
      </c>
      <c r="K42" s="304" t="str">
        <f>IF(基本情報入力シート!Z64="", "", 基本情報入力シート!Z64)</f>
        <v/>
      </c>
      <c r="L42" s="558" t="str">
        <f>IF(基本情報入力シート!AF64=0, "",基本情報入力シート!AF64)</f>
        <v/>
      </c>
      <c r="M42" s="588"/>
      <c r="N42" s="522" t="str">
        <f>IFERROR(VLOOKUP(K42,【参考】数式用!$A$2:$F$57,MATCH(M42,【参考】数式用!$C$3:$F$3,0)+2,0),"")</f>
        <v/>
      </c>
      <c r="O42" s="511"/>
      <c r="P42" s="555" t="str">
        <f>IFERROR(VLOOKUP(K42,【参考】数式用!$A$2:$F$57,MATCH(O42,【参考】数式用!$C$3:$F$3,0)+2,0),"")</f>
        <v/>
      </c>
      <c r="Q42" s="310" t="s">
        <v>118</v>
      </c>
      <c r="R42" s="308"/>
      <c r="S42" s="309" t="s">
        <v>183</v>
      </c>
      <c r="T42" s="308"/>
      <c r="U42" s="309" t="s">
        <v>184</v>
      </c>
      <c r="V42" s="308"/>
      <c r="W42" s="309" t="s">
        <v>183</v>
      </c>
      <c r="X42" s="308"/>
      <c r="Y42" s="309" t="s">
        <v>185</v>
      </c>
      <c r="Z42" s="309" t="s">
        <v>186</v>
      </c>
      <c r="AA42" s="309" t="str">
        <f t="shared" si="21"/>
        <v/>
      </c>
      <c r="AB42" s="305" t="s">
        <v>187</v>
      </c>
      <c r="AC42" s="306" t="str">
        <f t="shared" si="10"/>
        <v/>
      </c>
      <c r="AD42" s="515" t="str">
        <f t="shared" si="11"/>
        <v/>
      </c>
      <c r="AE42" s="307" t="str">
        <f>IFERROR(ROUNDDOWN(ROUNDDOWN(ROUND(L42*VLOOKUP(K42,【参考】数式用!$A$4:$F$57,MATCH("処遇改善加算Ⅳ",【参考】数式用!$C$3:$F$3,0)+2,0),0),0)*AA42*0.5,0), "")</f>
        <v/>
      </c>
      <c r="AF42" s="318"/>
      <c r="AG42" s="319"/>
      <c r="AH42" s="319"/>
      <c r="AI42" s="318"/>
      <c r="AJ42" s="320"/>
      <c r="AK42" s="326"/>
      <c r="AL42" s="324" t="str">
        <f t="shared" si="0"/>
        <v/>
      </c>
      <c r="AM42" s="325" t="str">
        <f t="shared" si="20"/>
        <v/>
      </c>
      <c r="AN42" s="255"/>
      <c r="AO42" s="557" t="str">
        <f>IFERROR(VLOOKUP(K42,【参考】数式用!$A$2:$N$57,14,FALSE),"")</f>
        <v/>
      </c>
      <c r="AP42" s="557" t="str">
        <f t="shared" si="1"/>
        <v/>
      </c>
      <c r="AQ42" s="561" t="str">
        <f t="shared" si="2"/>
        <v/>
      </c>
      <c r="AR42" s="540" t="str">
        <f t="shared" si="3"/>
        <v>入力済</v>
      </c>
      <c r="AS42" s="578" t="str">
        <f t="shared" si="12"/>
        <v/>
      </c>
      <c r="AT42" s="540" t="str">
        <f t="shared" si="4"/>
        <v>入力済</v>
      </c>
      <c r="AU42" s="540" t="str">
        <f t="shared" si="13"/>
        <v/>
      </c>
      <c r="AV42" s="540" t="str">
        <f t="shared" si="5"/>
        <v/>
      </c>
      <c r="AW42" s="557" t="str">
        <f t="shared" si="6"/>
        <v/>
      </c>
      <c r="AX42" s="578" t="str">
        <f t="shared" si="14"/>
        <v/>
      </c>
      <c r="AY42" s="540" t="str">
        <f>IFERROR(VLOOKUP(K42,【参考】数式用!$AR$5:$AS$39,2, FALSE), "")</f>
        <v/>
      </c>
      <c r="AZ42" s="557" t="str">
        <f t="shared" si="15"/>
        <v/>
      </c>
      <c r="BA42" s="560" t="str">
        <f t="shared" si="7"/>
        <v>入力済</v>
      </c>
      <c r="BB42" s="540" t="str">
        <f>IFERROR(VLOOKUP(K42,【参考】数式用!$AX$3:$AY$59, 2, FALSE), "")</f>
        <v/>
      </c>
      <c r="BC42" s="578" t="str">
        <f t="shared" si="16"/>
        <v/>
      </c>
      <c r="BD42" s="560" t="str">
        <f t="shared" si="8"/>
        <v>入力済</v>
      </c>
      <c r="BE42" s="577" t="str">
        <f t="shared" si="17"/>
        <v/>
      </c>
      <c r="BF42" s="560" t="str">
        <f t="shared" si="9"/>
        <v/>
      </c>
      <c r="BG42" s="597"/>
      <c r="BH42" s="593" t="str">
        <f t="shared" si="18"/>
        <v/>
      </c>
      <c r="BI42" s="616" t="str">
        <f>IF(BH42="Ⅱロ有り",ROUNDDOWN(L42*VLOOKUP(K42,【参考】数式用!$A$4:$J$42,10,FALSE)*AA42,0),"")</f>
        <v/>
      </c>
      <c r="BJ42" s="616" t="str">
        <f>IF(BH42="Ⅱロなし",ROUNDDOWN(L42*VLOOKUP(K42,【参考】数式用!$A$4:$J$42,8,FALSE)*AA42,0),"")</f>
        <v/>
      </c>
    </row>
    <row r="43" spans="1:62" ht="109.9" customHeight="1" thickBot="1">
      <c r="A43" s="303">
        <v>30</v>
      </c>
      <c r="B43" s="956" t="str">
        <f>IF(基本情報入力シート!B65="","",基本情報入力シート!B65)</f>
        <v/>
      </c>
      <c r="C43" s="957"/>
      <c r="D43" s="957"/>
      <c r="E43" s="957"/>
      <c r="F43" s="958"/>
      <c r="G43" s="304" t="str">
        <f>IF(基本情報入力シート!L65="", "", 基本情報入力シート!L65)</f>
        <v/>
      </c>
      <c r="H43" s="304" t="str">
        <f>IF(基本情報入力シート!Q65="", "", 基本情報入力シート!Q65)</f>
        <v/>
      </c>
      <c r="I43" s="304" t="str">
        <f>IF(基本情報入力シート!V65="", "", 基本情報入力シート!V65)</f>
        <v/>
      </c>
      <c r="J43" s="304" t="str">
        <f>IF(基本情報入力シート!W65="", "", 基本情報入力シート!W65)</f>
        <v/>
      </c>
      <c r="K43" s="304" t="str">
        <f>IF(基本情報入力シート!Z65="", "", 基本情報入力シート!Z65)</f>
        <v/>
      </c>
      <c r="L43" s="558" t="str">
        <f>IF(基本情報入力シート!AF65=0, "",基本情報入力シート!AF65)</f>
        <v/>
      </c>
      <c r="M43" s="588"/>
      <c r="N43" s="522" t="str">
        <f>IFERROR(VLOOKUP(K43,【参考】数式用!$A$2:$F$57,MATCH(M43,【参考】数式用!$C$3:$F$3,0)+2,0),"")</f>
        <v/>
      </c>
      <c r="O43" s="511"/>
      <c r="P43" s="555" t="str">
        <f>IFERROR(VLOOKUP(K43,【参考】数式用!$A$2:$F$57,MATCH(O43,【参考】数式用!$C$3:$F$3,0)+2,0),"")</f>
        <v/>
      </c>
      <c r="Q43" s="310" t="s">
        <v>118</v>
      </c>
      <c r="R43" s="308"/>
      <c r="S43" s="309" t="s">
        <v>183</v>
      </c>
      <c r="T43" s="308"/>
      <c r="U43" s="309" t="s">
        <v>184</v>
      </c>
      <c r="V43" s="308"/>
      <c r="W43" s="309" t="s">
        <v>183</v>
      </c>
      <c r="X43" s="308"/>
      <c r="Y43" s="309" t="s">
        <v>185</v>
      </c>
      <c r="Z43" s="309" t="s">
        <v>186</v>
      </c>
      <c r="AA43" s="309" t="str">
        <f t="shared" si="21"/>
        <v/>
      </c>
      <c r="AB43" s="305" t="s">
        <v>187</v>
      </c>
      <c r="AC43" s="306" t="str">
        <f t="shared" si="10"/>
        <v/>
      </c>
      <c r="AD43" s="515" t="str">
        <f t="shared" si="11"/>
        <v/>
      </c>
      <c r="AE43" s="307" t="str">
        <f>IFERROR(ROUNDDOWN(ROUNDDOWN(ROUND(L43*VLOOKUP(K43,【参考】数式用!$A$4:$F$57,MATCH("処遇改善加算Ⅳ",【参考】数式用!$C$3:$F$3,0)+2,0),0),0)*AA43*0.5,0), "")</f>
        <v/>
      </c>
      <c r="AF43" s="318"/>
      <c r="AG43" s="319"/>
      <c r="AH43" s="319"/>
      <c r="AI43" s="318"/>
      <c r="AJ43" s="320"/>
      <c r="AK43" s="326"/>
      <c r="AL43" s="324" t="str">
        <f t="shared" si="0"/>
        <v/>
      </c>
      <c r="AM43" s="325" t="str">
        <f t="shared" si="20"/>
        <v/>
      </c>
      <c r="AN43" s="255"/>
      <c r="AO43" s="557" t="str">
        <f>IFERROR(VLOOKUP(K43,【参考】数式用!$A$2:$N$57,14,FALSE),"")</f>
        <v/>
      </c>
      <c r="AP43" s="557" t="str">
        <f t="shared" si="1"/>
        <v/>
      </c>
      <c r="AQ43" s="561" t="str">
        <f t="shared" si="2"/>
        <v/>
      </c>
      <c r="AR43" s="540" t="str">
        <f t="shared" si="3"/>
        <v>入力済</v>
      </c>
      <c r="AS43" s="578" t="str">
        <f t="shared" si="12"/>
        <v/>
      </c>
      <c r="AT43" s="540" t="str">
        <f t="shared" si="4"/>
        <v>入力済</v>
      </c>
      <c r="AU43" s="540" t="str">
        <f t="shared" si="13"/>
        <v/>
      </c>
      <c r="AV43" s="540" t="str">
        <f t="shared" si="5"/>
        <v/>
      </c>
      <c r="AW43" s="557" t="str">
        <f t="shared" si="6"/>
        <v/>
      </c>
      <c r="AX43" s="578" t="str">
        <f t="shared" si="14"/>
        <v/>
      </c>
      <c r="AY43" s="540" t="str">
        <f>IFERROR(VLOOKUP(K43,【参考】数式用!$AR$5:$AS$39,2, FALSE), "")</f>
        <v/>
      </c>
      <c r="AZ43" s="557" t="str">
        <f t="shared" si="15"/>
        <v/>
      </c>
      <c r="BA43" s="560" t="str">
        <f t="shared" si="7"/>
        <v>入力済</v>
      </c>
      <c r="BB43" s="540" t="str">
        <f>IFERROR(VLOOKUP(K43,【参考】数式用!$AX$3:$AY$59, 2, FALSE), "")</f>
        <v/>
      </c>
      <c r="BC43" s="578" t="str">
        <f t="shared" si="16"/>
        <v/>
      </c>
      <c r="BD43" s="560" t="str">
        <f t="shared" si="8"/>
        <v>入力済</v>
      </c>
      <c r="BE43" s="577" t="str">
        <f t="shared" si="17"/>
        <v/>
      </c>
      <c r="BF43" s="560" t="str">
        <f t="shared" si="9"/>
        <v/>
      </c>
      <c r="BG43" s="597"/>
      <c r="BH43" s="593" t="str">
        <f t="shared" si="18"/>
        <v/>
      </c>
      <c r="BI43" s="616" t="str">
        <f>IF(BH43="Ⅱロ有り",ROUNDDOWN(L43*VLOOKUP(K43,【参考】数式用!$A$4:$J$42,10,FALSE)*AA43,0),"")</f>
        <v/>
      </c>
      <c r="BJ43" s="616" t="str">
        <f>IF(BH43="Ⅱロなし",ROUNDDOWN(L43*VLOOKUP(K43,【参考】数式用!$A$4:$J$42,8,FALSE)*AA43,0),"")</f>
        <v/>
      </c>
    </row>
    <row r="44" spans="1:62" ht="109.9" customHeight="1" thickBot="1">
      <c r="A44" s="303">
        <v>31</v>
      </c>
      <c r="B44" s="956" t="str">
        <f>IF(基本情報入力シート!B66="","",基本情報入力シート!B66)</f>
        <v/>
      </c>
      <c r="C44" s="957"/>
      <c r="D44" s="957"/>
      <c r="E44" s="957"/>
      <c r="F44" s="958"/>
      <c r="G44" s="304" t="str">
        <f>IF(基本情報入力シート!L66="", "", 基本情報入力シート!L66)</f>
        <v/>
      </c>
      <c r="H44" s="304" t="str">
        <f>IF(基本情報入力シート!Q66="", "", 基本情報入力シート!Q66)</f>
        <v/>
      </c>
      <c r="I44" s="304" t="str">
        <f>IF(基本情報入力シート!V66="", "", 基本情報入力シート!V66)</f>
        <v/>
      </c>
      <c r="J44" s="304" t="str">
        <f>IF(基本情報入力シート!W66="", "", 基本情報入力シート!W66)</f>
        <v/>
      </c>
      <c r="K44" s="304" t="str">
        <f>IF(基本情報入力シート!Z66="", "", 基本情報入力シート!Z66)</f>
        <v/>
      </c>
      <c r="L44" s="558" t="str">
        <f>IF(基本情報入力シート!AF66=0, "",基本情報入力シート!AF66)</f>
        <v/>
      </c>
      <c r="M44" s="588"/>
      <c r="N44" s="522" t="str">
        <f>IFERROR(VLOOKUP(K44,【参考】数式用!$A$2:$F$57,MATCH(M44,【参考】数式用!$C$3:$F$3,0)+2,0),"")</f>
        <v/>
      </c>
      <c r="O44" s="511"/>
      <c r="P44" s="555" t="str">
        <f>IFERROR(VLOOKUP(K44,【参考】数式用!$A$2:$F$57,MATCH(O44,【参考】数式用!$C$3:$F$3,0)+2,0),"")</f>
        <v/>
      </c>
      <c r="Q44" s="310" t="s">
        <v>118</v>
      </c>
      <c r="R44" s="308"/>
      <c r="S44" s="309" t="s">
        <v>183</v>
      </c>
      <c r="T44" s="308"/>
      <c r="U44" s="309" t="s">
        <v>184</v>
      </c>
      <c r="V44" s="308"/>
      <c r="W44" s="309" t="s">
        <v>183</v>
      </c>
      <c r="X44" s="308"/>
      <c r="Y44" s="309" t="s">
        <v>185</v>
      </c>
      <c r="Z44" s="309" t="s">
        <v>186</v>
      </c>
      <c r="AA44" s="309" t="str">
        <f t="shared" si="21"/>
        <v/>
      </c>
      <c r="AB44" s="305" t="s">
        <v>187</v>
      </c>
      <c r="AC44" s="306" t="str">
        <f t="shared" si="10"/>
        <v/>
      </c>
      <c r="AD44" s="515" t="str">
        <f t="shared" si="11"/>
        <v/>
      </c>
      <c r="AE44" s="307" t="str">
        <f>IFERROR(ROUNDDOWN(ROUNDDOWN(ROUND(L44*VLOOKUP(K44,【参考】数式用!$A$4:$F$57,MATCH("処遇改善加算Ⅳ",【参考】数式用!$C$3:$F$3,0)+2,0),0),0)*AA44*0.5,0), "")</f>
        <v/>
      </c>
      <c r="AF44" s="318"/>
      <c r="AG44" s="319"/>
      <c r="AH44" s="319"/>
      <c r="AI44" s="318"/>
      <c r="AJ44" s="320"/>
      <c r="AK44" s="326"/>
      <c r="AL44" s="324" t="str">
        <f t="shared" si="0"/>
        <v/>
      </c>
      <c r="AM44" s="325" t="str">
        <f t="shared" si="20"/>
        <v/>
      </c>
      <c r="AN44" s="255"/>
      <c r="AO44" s="557" t="str">
        <f>IFERROR(VLOOKUP(K44,【参考】数式用!$A$2:$N$57,14,FALSE),"")</f>
        <v/>
      </c>
      <c r="AP44" s="557" t="str">
        <f t="shared" si="1"/>
        <v/>
      </c>
      <c r="AQ44" s="561" t="str">
        <f t="shared" si="2"/>
        <v/>
      </c>
      <c r="AR44" s="540" t="str">
        <f t="shared" si="3"/>
        <v>入力済</v>
      </c>
      <c r="AS44" s="578" t="str">
        <f t="shared" si="12"/>
        <v/>
      </c>
      <c r="AT44" s="540" t="str">
        <f t="shared" si="4"/>
        <v>入力済</v>
      </c>
      <c r="AU44" s="540" t="str">
        <f t="shared" si="13"/>
        <v/>
      </c>
      <c r="AV44" s="540" t="str">
        <f t="shared" si="5"/>
        <v/>
      </c>
      <c r="AW44" s="557" t="str">
        <f t="shared" si="6"/>
        <v/>
      </c>
      <c r="AX44" s="578" t="str">
        <f t="shared" si="14"/>
        <v/>
      </c>
      <c r="AY44" s="540" t="str">
        <f>IFERROR(VLOOKUP(K44,【参考】数式用!$AR$5:$AS$39,2, FALSE), "")</f>
        <v/>
      </c>
      <c r="AZ44" s="557" t="str">
        <f t="shared" si="15"/>
        <v/>
      </c>
      <c r="BA44" s="560" t="str">
        <f t="shared" si="7"/>
        <v>入力済</v>
      </c>
      <c r="BB44" s="540" t="str">
        <f>IFERROR(VLOOKUP(K44,【参考】数式用!$AX$3:$AY$59, 2, FALSE), "")</f>
        <v/>
      </c>
      <c r="BC44" s="578" t="str">
        <f t="shared" si="16"/>
        <v/>
      </c>
      <c r="BD44" s="560" t="str">
        <f t="shared" si="8"/>
        <v>入力済</v>
      </c>
      <c r="BE44" s="577" t="str">
        <f t="shared" si="17"/>
        <v/>
      </c>
      <c r="BF44" s="560" t="str">
        <f t="shared" si="9"/>
        <v/>
      </c>
      <c r="BG44" s="597"/>
      <c r="BH44" s="593" t="str">
        <f t="shared" si="18"/>
        <v/>
      </c>
      <c r="BI44" s="616" t="str">
        <f>IF(BH44="Ⅱロ有り",ROUNDDOWN(L44*VLOOKUP(K44,【参考】数式用!$A$4:$J$42,10,FALSE)*AA44,0),"")</f>
        <v/>
      </c>
      <c r="BJ44" s="616" t="str">
        <f>IF(BH44="Ⅱロなし",ROUNDDOWN(L44*VLOOKUP(K44,【参考】数式用!$A$4:$J$42,8,FALSE)*AA44,0),"")</f>
        <v/>
      </c>
    </row>
    <row r="45" spans="1:62" ht="109.9" customHeight="1" thickBot="1">
      <c r="A45" s="303">
        <v>32</v>
      </c>
      <c r="B45" s="956" t="str">
        <f>IF(基本情報入力シート!B67="","",基本情報入力シート!B67)</f>
        <v/>
      </c>
      <c r="C45" s="957"/>
      <c r="D45" s="957"/>
      <c r="E45" s="957"/>
      <c r="F45" s="958"/>
      <c r="G45" s="304" t="str">
        <f>IF(基本情報入力シート!L67="", "", 基本情報入力シート!L67)</f>
        <v/>
      </c>
      <c r="H45" s="304" t="str">
        <f>IF(基本情報入力シート!Q67="", "", 基本情報入力シート!Q67)</f>
        <v/>
      </c>
      <c r="I45" s="304" t="str">
        <f>IF(基本情報入力シート!V67="", "", 基本情報入力シート!V67)</f>
        <v/>
      </c>
      <c r="J45" s="304" t="str">
        <f>IF(基本情報入力シート!W67="", "", 基本情報入力シート!W67)</f>
        <v/>
      </c>
      <c r="K45" s="304" t="str">
        <f>IF(基本情報入力シート!Z67="", "", 基本情報入力シート!Z67)</f>
        <v/>
      </c>
      <c r="L45" s="558" t="str">
        <f>IF(基本情報入力シート!AF67=0, "",基本情報入力シート!AF67)</f>
        <v/>
      </c>
      <c r="M45" s="588"/>
      <c r="N45" s="522" t="str">
        <f>IFERROR(VLOOKUP(K45,【参考】数式用!$A$2:$F$57,MATCH(M45,【参考】数式用!$C$3:$F$3,0)+2,0),"")</f>
        <v/>
      </c>
      <c r="O45" s="511"/>
      <c r="P45" s="555" t="str">
        <f>IFERROR(VLOOKUP(K45,【参考】数式用!$A$2:$F$57,MATCH(O45,【参考】数式用!$C$3:$F$3,0)+2,0),"")</f>
        <v/>
      </c>
      <c r="Q45" s="310" t="s">
        <v>118</v>
      </c>
      <c r="R45" s="308"/>
      <c r="S45" s="309" t="s">
        <v>183</v>
      </c>
      <c r="T45" s="308"/>
      <c r="U45" s="309" t="s">
        <v>184</v>
      </c>
      <c r="V45" s="308"/>
      <c r="W45" s="309" t="s">
        <v>183</v>
      </c>
      <c r="X45" s="308"/>
      <c r="Y45" s="309" t="s">
        <v>185</v>
      </c>
      <c r="Z45" s="309" t="s">
        <v>186</v>
      </c>
      <c r="AA45" s="309" t="str">
        <f t="shared" si="21"/>
        <v/>
      </c>
      <c r="AB45" s="305" t="s">
        <v>187</v>
      </c>
      <c r="AC45" s="306" t="str">
        <f t="shared" si="10"/>
        <v/>
      </c>
      <c r="AD45" s="515" t="str">
        <f t="shared" si="11"/>
        <v/>
      </c>
      <c r="AE45" s="307" t="str">
        <f>IFERROR(ROUNDDOWN(ROUNDDOWN(ROUND(L45*VLOOKUP(K45,【参考】数式用!$A$4:$F$57,MATCH("処遇改善加算Ⅳ",【参考】数式用!$C$3:$F$3,0)+2,0),0),0)*AA45*0.5,0), "")</f>
        <v/>
      </c>
      <c r="AF45" s="318"/>
      <c r="AG45" s="319"/>
      <c r="AH45" s="319"/>
      <c r="AI45" s="318"/>
      <c r="AJ45" s="320"/>
      <c r="AK45" s="326"/>
      <c r="AL45" s="324" t="str">
        <f t="shared" ref="AL45:AL76" si="22">IF(AND(O45&lt;&gt;"", OR(V45&lt;&gt;8,X45&lt;&gt;5)),"！算定期間の終わりが令和８年５月になっていません。令和８年６月以降については別シートに記載してください。",
 IF(AND(AO45="加算対象外",O45&lt;&gt;""),"このサービスは、令和８年４月・５月は処遇改善加算の対象ではありません。記入しないでください。",""))</f>
        <v/>
      </c>
      <c r="AM45" s="325" t="str">
        <f t="shared" si="20"/>
        <v/>
      </c>
      <c r="AN45" s="255"/>
      <c r="AO45" s="557" t="str">
        <f>IFERROR(VLOOKUP(K45,【参考】数式用!$A$2:$N$57,14,FALSE),"")</f>
        <v/>
      </c>
      <c r="AP45" s="557" t="str">
        <f t="shared" ref="AP45:AP76" si="23">IF(AND(K45&lt;&gt;"",AO45="加算対象"),"N列に色付け","")</f>
        <v/>
      </c>
      <c r="AQ45" s="561" t="str">
        <f t="shared" ref="AQ45:AQ76" si="24">IF(AND(AE45&lt;&gt;0,AE45&lt;&gt;"",AO45="加算対象"),IF(AF45="○","入力済","未入力"),"")</f>
        <v/>
      </c>
      <c r="AR45" s="540" t="str">
        <f t="shared" ref="AR45:AR76" si="25">IF(AND(O45&lt;&gt;"", AG45="",AO45="加算対象"), "未入力", "入力済")</f>
        <v>入力済</v>
      </c>
      <c r="AS45" s="578" t="str">
        <f t="shared" si="12"/>
        <v/>
      </c>
      <c r="AT45" s="540" t="str">
        <f t="shared" ref="AT45:AT76" si="26">IF(AND(O45&lt;&gt;"", O45&lt;&gt;"処遇改善加算Ⅳ", AH45=""), "未入力", "入力済")</f>
        <v>入力済</v>
      </c>
      <c r="AU45" s="540" t="str">
        <f t="shared" si="13"/>
        <v/>
      </c>
      <c r="AV45" s="540" t="str">
        <f t="shared" ref="AV45:AV76" si="27">IF(AND(AO45="加算対象",O45&lt;&gt;"処遇改善加算Ⅲ",O45&lt;&gt;"処遇改善加算Ⅳ", O45&lt;&gt;"", AU45&lt;&gt;"対象外"), 1,"")</f>
        <v/>
      </c>
      <c r="AW45" s="557" t="str">
        <f t="shared" ref="AW45:AW76" si="28">IF(AND(AV45=1, OR(AI45=0,AI45=""),AO45="加算対象"),"AH列に色付け","")</f>
        <v/>
      </c>
      <c r="AX45" s="578" t="str">
        <f t="shared" si="14"/>
        <v/>
      </c>
      <c r="AY45" s="540" t="str">
        <f>IFERROR(VLOOKUP(K45,【参考】数式用!$AR$5:$AS$39,2, FALSE), "")</f>
        <v/>
      </c>
      <c r="AZ45" s="557" t="str">
        <f t="shared" si="15"/>
        <v/>
      </c>
      <c r="BA45" s="560" t="str">
        <f t="shared" ref="BA45:BA76" si="29">IF(AND(O45="処遇改善加算Ⅰ", AJ45=""), "未入力","入力済")</f>
        <v>入力済</v>
      </c>
      <c r="BB45" s="540" t="str">
        <f>IFERROR(VLOOKUP(K45,【参考】数式用!$AX$3:$AY$59, 2, FALSE), "")</f>
        <v/>
      </c>
      <c r="BC45" s="578" t="str">
        <f t="shared" si="16"/>
        <v/>
      </c>
      <c r="BD45" s="560" t="str">
        <f t="shared" ref="BD45:BD76" si="30">IF(AND(COUNTIF(AG45:AI45,"*令和８年度特例要件を*")&gt;0,AK45=""), "未入力","入力済")</f>
        <v>入力済</v>
      </c>
      <c r="BE45" s="577" t="str">
        <f t="shared" si="17"/>
        <v/>
      </c>
      <c r="BF45" s="560" t="str">
        <f t="shared" ref="BF45:BF76" si="31">G45</f>
        <v/>
      </c>
      <c r="BG45" s="597"/>
      <c r="BH45" s="593" t="str">
        <f t="shared" si="18"/>
        <v/>
      </c>
      <c r="BI45" s="616" t="str">
        <f>IF(BH45="Ⅱロ有り",ROUNDDOWN(L45*VLOOKUP(K45,【参考】数式用!$A$4:$J$42,10,FALSE)*AA45,0),"")</f>
        <v/>
      </c>
      <c r="BJ45" s="616" t="str">
        <f>IF(BH45="Ⅱロなし",ROUNDDOWN(L45*VLOOKUP(K45,【参考】数式用!$A$4:$J$42,8,FALSE)*AA45,0),"")</f>
        <v/>
      </c>
    </row>
    <row r="46" spans="1:62" ht="109.9" customHeight="1" thickBot="1">
      <c r="A46" s="303">
        <v>33</v>
      </c>
      <c r="B46" s="956" t="str">
        <f>IF(基本情報入力シート!B68="","",基本情報入力シート!B68)</f>
        <v/>
      </c>
      <c r="C46" s="957"/>
      <c r="D46" s="957"/>
      <c r="E46" s="957"/>
      <c r="F46" s="958"/>
      <c r="G46" s="304" t="str">
        <f>IF(基本情報入力シート!L68="", "", 基本情報入力シート!L68)</f>
        <v/>
      </c>
      <c r="H46" s="304" t="str">
        <f>IF(基本情報入力シート!Q68="", "", 基本情報入力シート!Q68)</f>
        <v/>
      </c>
      <c r="I46" s="304" t="str">
        <f>IF(基本情報入力シート!V68="", "", 基本情報入力シート!V68)</f>
        <v/>
      </c>
      <c r="J46" s="304" t="str">
        <f>IF(基本情報入力シート!W68="", "", 基本情報入力シート!W68)</f>
        <v/>
      </c>
      <c r="K46" s="304" t="str">
        <f>IF(基本情報入力シート!Z68="", "", 基本情報入力シート!Z68)</f>
        <v/>
      </c>
      <c r="L46" s="558" t="str">
        <f>IF(基本情報入力シート!AF68=0, "",基本情報入力シート!AF68)</f>
        <v/>
      </c>
      <c r="M46" s="588"/>
      <c r="N46" s="522" t="str">
        <f>IFERROR(VLOOKUP(K46,【参考】数式用!$A$2:$F$57,MATCH(M46,【参考】数式用!$C$3:$F$3,0)+2,0),"")</f>
        <v/>
      </c>
      <c r="O46" s="511"/>
      <c r="P46" s="555" t="str">
        <f>IFERROR(VLOOKUP(K46,【参考】数式用!$A$2:$F$57,MATCH(O46,【参考】数式用!$C$3:$F$3,0)+2,0),"")</f>
        <v/>
      </c>
      <c r="Q46" s="310" t="s">
        <v>118</v>
      </c>
      <c r="R46" s="308"/>
      <c r="S46" s="309" t="s">
        <v>183</v>
      </c>
      <c r="T46" s="308"/>
      <c r="U46" s="309" t="s">
        <v>184</v>
      </c>
      <c r="V46" s="308"/>
      <c r="W46" s="309" t="s">
        <v>183</v>
      </c>
      <c r="X46" s="308"/>
      <c r="Y46" s="309" t="s">
        <v>185</v>
      </c>
      <c r="Z46" s="309" t="s">
        <v>186</v>
      </c>
      <c r="AA46" s="309" t="str">
        <f t="shared" si="21"/>
        <v/>
      </c>
      <c r="AB46" s="305" t="s">
        <v>187</v>
      </c>
      <c r="AC46" s="306" t="str">
        <f t="shared" si="10"/>
        <v/>
      </c>
      <c r="AD46" s="515" t="str">
        <f t="shared" si="11"/>
        <v/>
      </c>
      <c r="AE46" s="307" t="str">
        <f>IFERROR(ROUNDDOWN(ROUNDDOWN(ROUND(L46*VLOOKUP(K46,【参考】数式用!$A$4:$F$57,MATCH("処遇改善加算Ⅳ",【参考】数式用!$C$3:$F$3,0)+2,0),0),0)*AA46*0.5,0), "")</f>
        <v/>
      </c>
      <c r="AF46" s="318"/>
      <c r="AG46" s="319"/>
      <c r="AH46" s="319"/>
      <c r="AI46" s="318"/>
      <c r="AJ46" s="320"/>
      <c r="AK46" s="326"/>
      <c r="AL46" s="324" t="str">
        <f t="shared" si="22"/>
        <v/>
      </c>
      <c r="AM46" s="325" t="str">
        <f t="shared" si="20"/>
        <v/>
      </c>
      <c r="AN46" s="255"/>
      <c r="AO46" s="557" t="str">
        <f>IFERROR(VLOOKUP(K46,【参考】数式用!$A$2:$N$57,14,FALSE),"")</f>
        <v/>
      </c>
      <c r="AP46" s="557" t="str">
        <f t="shared" si="23"/>
        <v/>
      </c>
      <c r="AQ46" s="561" t="str">
        <f t="shared" si="24"/>
        <v/>
      </c>
      <c r="AR46" s="540" t="str">
        <f t="shared" si="25"/>
        <v>入力済</v>
      </c>
      <c r="AS46" s="578" t="str">
        <f t="shared" si="12"/>
        <v/>
      </c>
      <c r="AT46" s="540" t="str">
        <f t="shared" si="26"/>
        <v>入力済</v>
      </c>
      <c r="AU46" s="540" t="str">
        <f t="shared" ref="AU46:AU77" si="32">IF(OR(O46="処遇改善加算Ⅰ",O46="処遇改善加算Ⅱ"),"対象","")</f>
        <v/>
      </c>
      <c r="AV46" s="540" t="str">
        <f t="shared" si="27"/>
        <v/>
      </c>
      <c r="AW46" s="557" t="str">
        <f t="shared" si="28"/>
        <v/>
      </c>
      <c r="AX46" s="578" t="str">
        <f t="shared" si="14"/>
        <v/>
      </c>
      <c r="AY46" s="540" t="str">
        <f>IFERROR(VLOOKUP(K46,【参考】数式用!$AR$5:$AS$39,2, FALSE), "")</f>
        <v/>
      </c>
      <c r="AZ46" s="557" t="str">
        <f t="shared" si="15"/>
        <v/>
      </c>
      <c r="BA46" s="560" t="str">
        <f t="shared" si="29"/>
        <v>入力済</v>
      </c>
      <c r="BB46" s="540" t="str">
        <f>IFERROR(VLOOKUP(K46,【参考】数式用!$AX$3:$AY$59, 2, FALSE), "")</f>
        <v/>
      </c>
      <c r="BC46" s="578" t="str">
        <f t="shared" si="16"/>
        <v/>
      </c>
      <c r="BD46" s="560" t="str">
        <f t="shared" si="30"/>
        <v>入力済</v>
      </c>
      <c r="BE46" s="577" t="str">
        <f t="shared" si="17"/>
        <v/>
      </c>
      <c r="BF46" s="560" t="str">
        <f t="shared" si="31"/>
        <v/>
      </c>
      <c r="BG46" s="597"/>
      <c r="BH46" s="593" t="str">
        <f t="shared" si="18"/>
        <v/>
      </c>
      <c r="BI46" s="616" t="str">
        <f>IF(BH46="Ⅱロ有り",ROUNDDOWN(L46*VLOOKUP(K46,【参考】数式用!$A$4:$J$42,10,FALSE)*AA46,0),"")</f>
        <v/>
      </c>
      <c r="BJ46" s="616" t="str">
        <f>IF(BH46="Ⅱロなし",ROUNDDOWN(L46*VLOOKUP(K46,【参考】数式用!$A$4:$J$42,8,FALSE)*AA46,0),"")</f>
        <v/>
      </c>
    </row>
    <row r="47" spans="1:62" ht="109.9" customHeight="1" thickBot="1">
      <c r="A47" s="303">
        <v>34</v>
      </c>
      <c r="B47" s="956" t="str">
        <f>IF(基本情報入力シート!B69="","",基本情報入力シート!B69)</f>
        <v/>
      </c>
      <c r="C47" s="957"/>
      <c r="D47" s="957"/>
      <c r="E47" s="957"/>
      <c r="F47" s="958"/>
      <c r="G47" s="304" t="str">
        <f>IF(基本情報入力シート!L69="", "", 基本情報入力シート!L69)</f>
        <v/>
      </c>
      <c r="H47" s="304" t="str">
        <f>IF(基本情報入力シート!Q69="", "", 基本情報入力シート!Q69)</f>
        <v/>
      </c>
      <c r="I47" s="304" t="str">
        <f>IF(基本情報入力シート!V69="", "", 基本情報入力シート!V69)</f>
        <v/>
      </c>
      <c r="J47" s="304" t="str">
        <f>IF(基本情報入力シート!W69="", "", 基本情報入力シート!W69)</f>
        <v/>
      </c>
      <c r="K47" s="304" t="str">
        <f>IF(基本情報入力シート!Z69="", "", 基本情報入力シート!Z69)</f>
        <v/>
      </c>
      <c r="L47" s="558" t="str">
        <f>IF(基本情報入力シート!AF69=0, "",基本情報入力シート!AF69)</f>
        <v/>
      </c>
      <c r="M47" s="588"/>
      <c r="N47" s="522" t="str">
        <f>IFERROR(VLOOKUP(K47,【参考】数式用!$A$2:$F$57,MATCH(M47,【参考】数式用!$C$3:$F$3,0)+2,0),"")</f>
        <v/>
      </c>
      <c r="O47" s="511"/>
      <c r="P47" s="555" t="str">
        <f>IFERROR(VLOOKUP(K47,【参考】数式用!$A$2:$F$57,MATCH(O47,【参考】数式用!$C$3:$F$3,0)+2,0),"")</f>
        <v/>
      </c>
      <c r="Q47" s="310" t="s">
        <v>118</v>
      </c>
      <c r="R47" s="308"/>
      <c r="S47" s="309" t="s">
        <v>183</v>
      </c>
      <c r="T47" s="308"/>
      <c r="U47" s="309" t="s">
        <v>184</v>
      </c>
      <c r="V47" s="308"/>
      <c r="W47" s="309" t="s">
        <v>183</v>
      </c>
      <c r="X47" s="308"/>
      <c r="Y47" s="309" t="s">
        <v>185</v>
      </c>
      <c r="Z47" s="309" t="s">
        <v>186</v>
      </c>
      <c r="AA47" s="309" t="str">
        <f t="shared" si="21"/>
        <v/>
      </c>
      <c r="AB47" s="305" t="s">
        <v>187</v>
      </c>
      <c r="AC47" s="306" t="str">
        <f t="shared" si="10"/>
        <v/>
      </c>
      <c r="AD47" s="515" t="str">
        <f t="shared" si="11"/>
        <v/>
      </c>
      <c r="AE47" s="307" t="str">
        <f>IFERROR(ROUNDDOWN(ROUNDDOWN(ROUND(L47*VLOOKUP(K47,【参考】数式用!$A$4:$F$57,MATCH("処遇改善加算Ⅳ",【参考】数式用!$C$3:$F$3,0)+2,0),0),0)*AA47*0.5,0), "")</f>
        <v/>
      </c>
      <c r="AF47" s="318"/>
      <c r="AG47" s="319"/>
      <c r="AH47" s="319"/>
      <c r="AI47" s="318"/>
      <c r="AJ47" s="320"/>
      <c r="AK47" s="326"/>
      <c r="AL47" s="324" t="str">
        <f t="shared" si="22"/>
        <v/>
      </c>
      <c r="AM47" s="325" t="str">
        <f t="shared" si="20"/>
        <v/>
      </c>
      <c r="AN47" s="255"/>
      <c r="AO47" s="557" t="str">
        <f>IFERROR(VLOOKUP(K47,【参考】数式用!$A$2:$N$57,14,FALSE),"")</f>
        <v/>
      </c>
      <c r="AP47" s="557" t="str">
        <f t="shared" si="23"/>
        <v/>
      </c>
      <c r="AQ47" s="561" t="str">
        <f t="shared" si="24"/>
        <v/>
      </c>
      <c r="AR47" s="540" t="str">
        <f t="shared" si="25"/>
        <v>入力済</v>
      </c>
      <c r="AS47" s="578" t="str">
        <f t="shared" si="12"/>
        <v/>
      </c>
      <c r="AT47" s="540" t="str">
        <f t="shared" si="26"/>
        <v>入力済</v>
      </c>
      <c r="AU47" s="540" t="str">
        <f t="shared" si="32"/>
        <v/>
      </c>
      <c r="AV47" s="540" t="str">
        <f t="shared" si="27"/>
        <v/>
      </c>
      <c r="AW47" s="557" t="str">
        <f t="shared" si="28"/>
        <v/>
      </c>
      <c r="AX47" s="578" t="str">
        <f t="shared" si="14"/>
        <v/>
      </c>
      <c r="AY47" s="540" t="str">
        <f>IFERROR(VLOOKUP(K47,【参考】数式用!$AR$5:$AS$39,2, FALSE), "")</f>
        <v/>
      </c>
      <c r="AZ47" s="557" t="str">
        <f t="shared" si="15"/>
        <v/>
      </c>
      <c r="BA47" s="560" t="str">
        <f t="shared" si="29"/>
        <v>入力済</v>
      </c>
      <c r="BB47" s="540" t="str">
        <f>IFERROR(VLOOKUP(K47,【参考】数式用!$AX$3:$AY$59, 2, FALSE), "")</f>
        <v/>
      </c>
      <c r="BC47" s="578" t="str">
        <f t="shared" si="16"/>
        <v/>
      </c>
      <c r="BD47" s="560" t="str">
        <f t="shared" si="30"/>
        <v>入力済</v>
      </c>
      <c r="BE47" s="577" t="str">
        <f t="shared" si="17"/>
        <v/>
      </c>
      <c r="BF47" s="560" t="str">
        <f t="shared" si="31"/>
        <v/>
      </c>
      <c r="BG47" s="597"/>
      <c r="BH47" s="593" t="str">
        <f t="shared" si="18"/>
        <v/>
      </c>
      <c r="BI47" s="616" t="str">
        <f>IF(BH47="Ⅱロ有り",ROUNDDOWN(L47*VLOOKUP(K47,【参考】数式用!$A$4:$J$42,10,FALSE)*AA47,0),"")</f>
        <v/>
      </c>
      <c r="BJ47" s="616" t="str">
        <f>IF(BH47="Ⅱロなし",ROUNDDOWN(L47*VLOOKUP(K47,【参考】数式用!$A$4:$J$42,8,FALSE)*AA47,0),"")</f>
        <v/>
      </c>
    </row>
    <row r="48" spans="1:62" ht="109.9" customHeight="1" thickBot="1">
      <c r="A48" s="303">
        <v>35</v>
      </c>
      <c r="B48" s="956" t="str">
        <f>IF(基本情報入力シート!B70="","",基本情報入力シート!B70)</f>
        <v/>
      </c>
      <c r="C48" s="957"/>
      <c r="D48" s="957"/>
      <c r="E48" s="957"/>
      <c r="F48" s="958"/>
      <c r="G48" s="304" t="str">
        <f>IF(基本情報入力シート!L70="", "", 基本情報入力シート!L70)</f>
        <v/>
      </c>
      <c r="H48" s="304" t="str">
        <f>IF(基本情報入力シート!Q70="", "", 基本情報入力シート!Q70)</f>
        <v/>
      </c>
      <c r="I48" s="304" t="str">
        <f>IF(基本情報入力シート!V70="", "", 基本情報入力シート!V70)</f>
        <v/>
      </c>
      <c r="J48" s="304" t="str">
        <f>IF(基本情報入力シート!W70="", "", 基本情報入力シート!W70)</f>
        <v/>
      </c>
      <c r="K48" s="304" t="str">
        <f>IF(基本情報入力シート!Z70="", "", 基本情報入力シート!Z70)</f>
        <v/>
      </c>
      <c r="L48" s="558" t="str">
        <f>IF(基本情報入力シート!AF70=0, "",基本情報入力シート!AF70)</f>
        <v/>
      </c>
      <c r="M48" s="588"/>
      <c r="N48" s="522" t="str">
        <f>IFERROR(VLOOKUP(K48,【参考】数式用!$A$2:$F$57,MATCH(M48,【参考】数式用!$C$3:$F$3,0)+2,0),"")</f>
        <v/>
      </c>
      <c r="O48" s="511"/>
      <c r="P48" s="555" t="str">
        <f>IFERROR(VLOOKUP(K48,【参考】数式用!$A$2:$F$57,MATCH(O48,【参考】数式用!$C$3:$F$3,0)+2,0),"")</f>
        <v/>
      </c>
      <c r="Q48" s="310" t="s">
        <v>118</v>
      </c>
      <c r="R48" s="308"/>
      <c r="S48" s="309" t="s">
        <v>183</v>
      </c>
      <c r="T48" s="308"/>
      <c r="U48" s="309" t="s">
        <v>184</v>
      </c>
      <c r="V48" s="308"/>
      <c r="W48" s="309" t="s">
        <v>183</v>
      </c>
      <c r="X48" s="308"/>
      <c r="Y48" s="309" t="s">
        <v>185</v>
      </c>
      <c r="Z48" s="309" t="s">
        <v>186</v>
      </c>
      <c r="AA48" s="309" t="str">
        <f t="shared" si="21"/>
        <v/>
      </c>
      <c r="AB48" s="305" t="s">
        <v>187</v>
      </c>
      <c r="AC48" s="306" t="str">
        <f t="shared" si="10"/>
        <v/>
      </c>
      <c r="AD48" s="515" t="str">
        <f t="shared" si="11"/>
        <v/>
      </c>
      <c r="AE48" s="307" t="str">
        <f>IFERROR(ROUNDDOWN(ROUNDDOWN(ROUND(L48*VLOOKUP(K48,【参考】数式用!$A$4:$F$57,MATCH("処遇改善加算Ⅳ",【参考】数式用!$C$3:$F$3,0)+2,0),0),0)*AA48*0.5,0), "")</f>
        <v/>
      </c>
      <c r="AF48" s="318"/>
      <c r="AG48" s="319"/>
      <c r="AH48" s="319"/>
      <c r="AI48" s="318"/>
      <c r="AJ48" s="320"/>
      <c r="AK48" s="326"/>
      <c r="AL48" s="324" t="str">
        <f t="shared" si="22"/>
        <v/>
      </c>
      <c r="AM48" s="325" t="str">
        <f t="shared" si="20"/>
        <v/>
      </c>
      <c r="AN48" s="255"/>
      <c r="AO48" s="557" t="str">
        <f>IFERROR(VLOOKUP(K48,【参考】数式用!$A$2:$N$57,14,FALSE),"")</f>
        <v/>
      </c>
      <c r="AP48" s="557" t="str">
        <f t="shared" si="23"/>
        <v/>
      </c>
      <c r="AQ48" s="561" t="str">
        <f t="shared" si="24"/>
        <v/>
      </c>
      <c r="AR48" s="540" t="str">
        <f t="shared" si="25"/>
        <v>入力済</v>
      </c>
      <c r="AS48" s="578" t="str">
        <f t="shared" si="12"/>
        <v/>
      </c>
      <c r="AT48" s="540" t="str">
        <f t="shared" si="26"/>
        <v>入力済</v>
      </c>
      <c r="AU48" s="540" t="str">
        <f t="shared" si="32"/>
        <v/>
      </c>
      <c r="AV48" s="540" t="str">
        <f t="shared" si="27"/>
        <v/>
      </c>
      <c r="AW48" s="557" t="str">
        <f t="shared" si="28"/>
        <v/>
      </c>
      <c r="AX48" s="578" t="str">
        <f t="shared" si="14"/>
        <v/>
      </c>
      <c r="AY48" s="540" t="str">
        <f>IFERROR(VLOOKUP(K48,【参考】数式用!$AR$5:$AS$39,2, FALSE), "")</f>
        <v/>
      </c>
      <c r="AZ48" s="557" t="str">
        <f t="shared" si="15"/>
        <v/>
      </c>
      <c r="BA48" s="560" t="str">
        <f t="shared" si="29"/>
        <v>入力済</v>
      </c>
      <c r="BB48" s="540" t="str">
        <f>IFERROR(VLOOKUP(K48,【参考】数式用!$AX$3:$AY$59, 2, FALSE), "")</f>
        <v/>
      </c>
      <c r="BC48" s="578" t="str">
        <f t="shared" si="16"/>
        <v/>
      </c>
      <c r="BD48" s="560" t="str">
        <f t="shared" si="30"/>
        <v>入力済</v>
      </c>
      <c r="BE48" s="577" t="str">
        <f t="shared" si="17"/>
        <v/>
      </c>
      <c r="BF48" s="560" t="str">
        <f t="shared" si="31"/>
        <v/>
      </c>
      <c r="BG48" s="597"/>
      <c r="BH48" s="593" t="str">
        <f t="shared" si="18"/>
        <v/>
      </c>
      <c r="BI48" s="616" t="str">
        <f>IF(BH48="Ⅱロ有り",ROUNDDOWN(L48*VLOOKUP(K48,【参考】数式用!$A$4:$J$42,10,FALSE)*AA48,0),"")</f>
        <v/>
      </c>
      <c r="BJ48" s="616" t="str">
        <f>IF(BH48="Ⅱロなし",ROUNDDOWN(L48*VLOOKUP(K48,【参考】数式用!$A$4:$J$42,8,FALSE)*AA48,0),"")</f>
        <v/>
      </c>
    </row>
    <row r="49" spans="1:62" ht="109.9" customHeight="1" thickBot="1">
      <c r="A49" s="303">
        <v>36</v>
      </c>
      <c r="B49" s="956" t="str">
        <f>IF(基本情報入力シート!B71="","",基本情報入力シート!B71)</f>
        <v/>
      </c>
      <c r="C49" s="957"/>
      <c r="D49" s="957"/>
      <c r="E49" s="957"/>
      <c r="F49" s="958"/>
      <c r="G49" s="304" t="str">
        <f>IF(基本情報入力シート!L71="", "", 基本情報入力シート!L71)</f>
        <v/>
      </c>
      <c r="H49" s="304" t="str">
        <f>IF(基本情報入力シート!Q71="", "", 基本情報入力シート!Q71)</f>
        <v/>
      </c>
      <c r="I49" s="304" t="str">
        <f>IF(基本情報入力シート!V71="", "", 基本情報入力シート!V71)</f>
        <v/>
      </c>
      <c r="J49" s="304" t="str">
        <f>IF(基本情報入力シート!W71="", "", 基本情報入力シート!W71)</f>
        <v/>
      </c>
      <c r="K49" s="304" t="str">
        <f>IF(基本情報入力シート!Z71="", "", 基本情報入力シート!Z71)</f>
        <v/>
      </c>
      <c r="L49" s="558" t="str">
        <f>IF(基本情報入力シート!AF71=0, "",基本情報入力シート!AF71)</f>
        <v/>
      </c>
      <c r="M49" s="588"/>
      <c r="N49" s="522" t="str">
        <f>IFERROR(VLOOKUP(K49,【参考】数式用!$A$2:$F$57,MATCH(M49,【参考】数式用!$C$3:$F$3,0)+2,0),"")</f>
        <v/>
      </c>
      <c r="O49" s="511"/>
      <c r="P49" s="555" t="str">
        <f>IFERROR(VLOOKUP(K49,【参考】数式用!$A$2:$F$57,MATCH(O49,【参考】数式用!$C$3:$F$3,0)+2,0),"")</f>
        <v/>
      </c>
      <c r="Q49" s="310" t="s">
        <v>118</v>
      </c>
      <c r="R49" s="308"/>
      <c r="S49" s="309" t="s">
        <v>183</v>
      </c>
      <c r="T49" s="308"/>
      <c r="U49" s="309" t="s">
        <v>184</v>
      </c>
      <c r="V49" s="308"/>
      <c r="W49" s="309" t="s">
        <v>183</v>
      </c>
      <c r="X49" s="308"/>
      <c r="Y49" s="309" t="s">
        <v>185</v>
      </c>
      <c r="Z49" s="309" t="s">
        <v>186</v>
      </c>
      <c r="AA49" s="309" t="str">
        <f t="shared" si="21"/>
        <v/>
      </c>
      <c r="AB49" s="305" t="s">
        <v>187</v>
      </c>
      <c r="AC49" s="306" t="str">
        <f t="shared" si="10"/>
        <v/>
      </c>
      <c r="AD49" s="515" t="str">
        <f t="shared" si="11"/>
        <v/>
      </c>
      <c r="AE49" s="307" t="str">
        <f>IFERROR(ROUNDDOWN(ROUNDDOWN(ROUND(L49*VLOOKUP(K49,【参考】数式用!$A$4:$F$57,MATCH("処遇改善加算Ⅳ",【参考】数式用!$C$3:$F$3,0)+2,0),0),0)*AA49*0.5,0), "")</f>
        <v/>
      </c>
      <c r="AF49" s="318"/>
      <c r="AG49" s="319"/>
      <c r="AH49" s="319"/>
      <c r="AI49" s="318"/>
      <c r="AJ49" s="320"/>
      <c r="AK49" s="326"/>
      <c r="AL49" s="324" t="str">
        <f t="shared" si="22"/>
        <v/>
      </c>
      <c r="AM49" s="325" t="str">
        <f t="shared" si="20"/>
        <v/>
      </c>
      <c r="AN49" s="255"/>
      <c r="AO49" s="557" t="str">
        <f>IFERROR(VLOOKUP(K49,【参考】数式用!$A$2:$N$57,14,FALSE),"")</f>
        <v/>
      </c>
      <c r="AP49" s="557" t="str">
        <f t="shared" si="23"/>
        <v/>
      </c>
      <c r="AQ49" s="561" t="str">
        <f t="shared" si="24"/>
        <v/>
      </c>
      <c r="AR49" s="540" t="str">
        <f t="shared" si="25"/>
        <v>入力済</v>
      </c>
      <c r="AS49" s="578" t="str">
        <f t="shared" si="12"/>
        <v/>
      </c>
      <c r="AT49" s="540" t="str">
        <f t="shared" si="26"/>
        <v>入力済</v>
      </c>
      <c r="AU49" s="540" t="str">
        <f t="shared" si="32"/>
        <v/>
      </c>
      <c r="AV49" s="540" t="str">
        <f t="shared" si="27"/>
        <v/>
      </c>
      <c r="AW49" s="557" t="str">
        <f t="shared" si="28"/>
        <v/>
      </c>
      <c r="AX49" s="578" t="str">
        <f t="shared" si="14"/>
        <v/>
      </c>
      <c r="AY49" s="540" t="str">
        <f>IFERROR(VLOOKUP(K49,【参考】数式用!$AR$5:$AS$39,2, FALSE), "")</f>
        <v/>
      </c>
      <c r="AZ49" s="557" t="str">
        <f t="shared" si="15"/>
        <v/>
      </c>
      <c r="BA49" s="560" t="str">
        <f t="shared" si="29"/>
        <v>入力済</v>
      </c>
      <c r="BB49" s="540" t="str">
        <f>IFERROR(VLOOKUP(K49,【参考】数式用!$AX$3:$AY$59, 2, FALSE), "")</f>
        <v/>
      </c>
      <c r="BC49" s="578" t="str">
        <f t="shared" si="16"/>
        <v/>
      </c>
      <c r="BD49" s="560" t="str">
        <f t="shared" si="30"/>
        <v>入力済</v>
      </c>
      <c r="BE49" s="577" t="str">
        <f t="shared" si="17"/>
        <v/>
      </c>
      <c r="BF49" s="560" t="str">
        <f t="shared" si="31"/>
        <v/>
      </c>
      <c r="BG49" s="597"/>
      <c r="BH49" s="593" t="str">
        <f t="shared" si="18"/>
        <v/>
      </c>
      <c r="BI49" s="616" t="str">
        <f>IF(BH49="Ⅱロ有り",ROUNDDOWN(L49*VLOOKUP(K49,【参考】数式用!$A$4:$J$42,10,FALSE)*AA49,0),"")</f>
        <v/>
      </c>
      <c r="BJ49" s="616" t="str">
        <f>IF(BH49="Ⅱロなし",ROUNDDOWN(L49*VLOOKUP(K49,【参考】数式用!$A$4:$J$42,8,FALSE)*AA49,0),"")</f>
        <v/>
      </c>
    </row>
    <row r="50" spans="1:62" ht="109.9" customHeight="1" thickBot="1">
      <c r="A50" s="303">
        <v>37</v>
      </c>
      <c r="B50" s="956" t="str">
        <f>IF(基本情報入力シート!B72="","",基本情報入力シート!B72)</f>
        <v/>
      </c>
      <c r="C50" s="957"/>
      <c r="D50" s="957"/>
      <c r="E50" s="957"/>
      <c r="F50" s="958"/>
      <c r="G50" s="304" t="str">
        <f>IF(基本情報入力シート!L72="", "", 基本情報入力シート!L72)</f>
        <v/>
      </c>
      <c r="H50" s="304" t="str">
        <f>IF(基本情報入力シート!Q72="", "", 基本情報入力シート!Q72)</f>
        <v/>
      </c>
      <c r="I50" s="304" t="str">
        <f>IF(基本情報入力シート!V72="", "", 基本情報入力シート!V72)</f>
        <v/>
      </c>
      <c r="J50" s="304" t="str">
        <f>IF(基本情報入力シート!W72="", "", 基本情報入力シート!W72)</f>
        <v/>
      </c>
      <c r="K50" s="304" t="str">
        <f>IF(基本情報入力シート!Z72="", "", 基本情報入力シート!Z72)</f>
        <v/>
      </c>
      <c r="L50" s="558" t="str">
        <f>IF(基本情報入力シート!AF72=0, "",基本情報入力シート!AF72)</f>
        <v/>
      </c>
      <c r="M50" s="588"/>
      <c r="N50" s="522" t="str">
        <f>IFERROR(VLOOKUP(K50,【参考】数式用!$A$2:$F$57,MATCH(M50,【参考】数式用!$C$3:$F$3,0)+2,0),"")</f>
        <v/>
      </c>
      <c r="O50" s="511"/>
      <c r="P50" s="555" t="str">
        <f>IFERROR(VLOOKUP(K50,【参考】数式用!$A$2:$F$57,MATCH(O50,【参考】数式用!$C$3:$F$3,0)+2,0),"")</f>
        <v/>
      </c>
      <c r="Q50" s="310" t="s">
        <v>118</v>
      </c>
      <c r="R50" s="308"/>
      <c r="S50" s="309" t="s">
        <v>183</v>
      </c>
      <c r="T50" s="308"/>
      <c r="U50" s="309" t="s">
        <v>184</v>
      </c>
      <c r="V50" s="308"/>
      <c r="W50" s="309" t="s">
        <v>183</v>
      </c>
      <c r="X50" s="308"/>
      <c r="Y50" s="309" t="s">
        <v>185</v>
      </c>
      <c r="Z50" s="309" t="s">
        <v>186</v>
      </c>
      <c r="AA50" s="309" t="str">
        <f t="shared" si="21"/>
        <v/>
      </c>
      <c r="AB50" s="305" t="s">
        <v>187</v>
      </c>
      <c r="AC50" s="306" t="str">
        <f t="shared" si="10"/>
        <v/>
      </c>
      <c r="AD50" s="515" t="str">
        <f t="shared" si="11"/>
        <v/>
      </c>
      <c r="AE50" s="307" t="str">
        <f>IFERROR(ROUNDDOWN(ROUNDDOWN(ROUND(L50*VLOOKUP(K50,【参考】数式用!$A$4:$F$57,MATCH("処遇改善加算Ⅳ",【参考】数式用!$C$3:$F$3,0)+2,0),0),0)*AA50*0.5,0), "")</f>
        <v/>
      </c>
      <c r="AF50" s="318"/>
      <c r="AG50" s="319"/>
      <c r="AH50" s="319"/>
      <c r="AI50" s="318"/>
      <c r="AJ50" s="320"/>
      <c r="AK50" s="326"/>
      <c r="AL50" s="324" t="str">
        <f t="shared" si="22"/>
        <v/>
      </c>
      <c r="AM50" s="325" t="str">
        <f t="shared" si="20"/>
        <v/>
      </c>
      <c r="AN50" s="255"/>
      <c r="AO50" s="557" t="str">
        <f>IFERROR(VLOOKUP(K50,【参考】数式用!$A$2:$N$57,14,FALSE),"")</f>
        <v/>
      </c>
      <c r="AP50" s="557" t="str">
        <f t="shared" si="23"/>
        <v/>
      </c>
      <c r="AQ50" s="561" t="str">
        <f t="shared" si="24"/>
        <v/>
      </c>
      <c r="AR50" s="540" t="str">
        <f t="shared" si="25"/>
        <v>入力済</v>
      </c>
      <c r="AS50" s="578" t="str">
        <f t="shared" si="12"/>
        <v/>
      </c>
      <c r="AT50" s="540" t="str">
        <f t="shared" si="26"/>
        <v>入力済</v>
      </c>
      <c r="AU50" s="540" t="str">
        <f t="shared" si="32"/>
        <v/>
      </c>
      <c r="AV50" s="540" t="str">
        <f t="shared" si="27"/>
        <v/>
      </c>
      <c r="AW50" s="557" t="str">
        <f t="shared" si="28"/>
        <v/>
      </c>
      <c r="AX50" s="578" t="str">
        <f t="shared" si="14"/>
        <v/>
      </c>
      <c r="AY50" s="540" t="str">
        <f>IFERROR(VLOOKUP(K50,【参考】数式用!$AR$5:$AS$39,2, FALSE), "")</f>
        <v/>
      </c>
      <c r="AZ50" s="557" t="str">
        <f t="shared" si="15"/>
        <v/>
      </c>
      <c r="BA50" s="560" t="str">
        <f t="shared" si="29"/>
        <v>入力済</v>
      </c>
      <c r="BB50" s="540" t="str">
        <f>IFERROR(VLOOKUP(K50,【参考】数式用!$AX$3:$AY$59, 2, FALSE), "")</f>
        <v/>
      </c>
      <c r="BC50" s="578" t="str">
        <f t="shared" si="16"/>
        <v/>
      </c>
      <c r="BD50" s="560" t="str">
        <f t="shared" si="30"/>
        <v>入力済</v>
      </c>
      <c r="BE50" s="577" t="str">
        <f t="shared" si="17"/>
        <v/>
      </c>
      <c r="BF50" s="560" t="str">
        <f t="shared" si="31"/>
        <v/>
      </c>
      <c r="BG50" s="597"/>
      <c r="BH50" s="593" t="str">
        <f t="shared" si="18"/>
        <v/>
      </c>
      <c r="BI50" s="616" t="str">
        <f>IF(BH50="Ⅱロ有り",ROUNDDOWN(L50*VLOOKUP(K50,【参考】数式用!$A$4:$J$42,10,FALSE)*AA50,0),"")</f>
        <v/>
      </c>
      <c r="BJ50" s="616" t="str">
        <f>IF(BH50="Ⅱロなし",ROUNDDOWN(L50*VLOOKUP(K50,【参考】数式用!$A$4:$J$42,8,FALSE)*AA50,0),"")</f>
        <v/>
      </c>
    </row>
    <row r="51" spans="1:62" ht="109.9" customHeight="1" thickBot="1">
      <c r="A51" s="303">
        <v>38</v>
      </c>
      <c r="B51" s="956" t="str">
        <f>IF(基本情報入力シート!B73="","",基本情報入力シート!B73)</f>
        <v/>
      </c>
      <c r="C51" s="957"/>
      <c r="D51" s="957"/>
      <c r="E51" s="957"/>
      <c r="F51" s="958"/>
      <c r="G51" s="304" t="str">
        <f>IF(基本情報入力シート!L73="", "", 基本情報入力シート!L73)</f>
        <v/>
      </c>
      <c r="H51" s="304" t="str">
        <f>IF(基本情報入力シート!Q73="", "", 基本情報入力シート!Q73)</f>
        <v/>
      </c>
      <c r="I51" s="304" t="str">
        <f>IF(基本情報入力シート!V73="", "", 基本情報入力シート!V73)</f>
        <v/>
      </c>
      <c r="J51" s="304" t="str">
        <f>IF(基本情報入力シート!W73="", "", 基本情報入力シート!W73)</f>
        <v/>
      </c>
      <c r="K51" s="304" t="str">
        <f>IF(基本情報入力シート!Z73="", "", 基本情報入力シート!Z73)</f>
        <v/>
      </c>
      <c r="L51" s="558" t="str">
        <f>IF(基本情報入力シート!AF73=0, "",基本情報入力シート!AF73)</f>
        <v/>
      </c>
      <c r="M51" s="588"/>
      <c r="N51" s="522" t="str">
        <f>IFERROR(VLOOKUP(K51,【参考】数式用!$A$2:$F$57,MATCH(M51,【参考】数式用!$C$3:$F$3,0)+2,0),"")</f>
        <v/>
      </c>
      <c r="O51" s="511"/>
      <c r="P51" s="555" t="str">
        <f>IFERROR(VLOOKUP(K51,【参考】数式用!$A$2:$F$57,MATCH(O51,【参考】数式用!$C$3:$F$3,0)+2,0),"")</f>
        <v/>
      </c>
      <c r="Q51" s="310" t="s">
        <v>118</v>
      </c>
      <c r="R51" s="308"/>
      <c r="S51" s="309" t="s">
        <v>183</v>
      </c>
      <c r="T51" s="308"/>
      <c r="U51" s="309" t="s">
        <v>184</v>
      </c>
      <c r="V51" s="308"/>
      <c r="W51" s="309" t="s">
        <v>183</v>
      </c>
      <c r="X51" s="308"/>
      <c r="Y51" s="309" t="s">
        <v>185</v>
      </c>
      <c r="Z51" s="309" t="s">
        <v>186</v>
      </c>
      <c r="AA51" s="309" t="str">
        <f t="shared" si="21"/>
        <v/>
      </c>
      <c r="AB51" s="305" t="s">
        <v>187</v>
      </c>
      <c r="AC51" s="306" t="str">
        <f t="shared" si="10"/>
        <v/>
      </c>
      <c r="AD51" s="515" t="str">
        <f t="shared" si="11"/>
        <v/>
      </c>
      <c r="AE51" s="307" t="str">
        <f>IFERROR(ROUNDDOWN(ROUNDDOWN(ROUND(L51*VLOOKUP(K51,【参考】数式用!$A$4:$F$57,MATCH("処遇改善加算Ⅳ",【参考】数式用!$C$3:$F$3,0)+2,0),0),0)*AA51*0.5,0), "")</f>
        <v/>
      </c>
      <c r="AF51" s="318"/>
      <c r="AG51" s="319"/>
      <c r="AH51" s="319"/>
      <c r="AI51" s="318"/>
      <c r="AJ51" s="320"/>
      <c r="AK51" s="326"/>
      <c r="AL51" s="324" t="str">
        <f t="shared" si="22"/>
        <v/>
      </c>
      <c r="AM51" s="325" t="str">
        <f t="shared" si="20"/>
        <v/>
      </c>
      <c r="AN51" s="255"/>
      <c r="AO51" s="557" t="str">
        <f>IFERROR(VLOOKUP(K51,【参考】数式用!$A$2:$N$57,14,FALSE),"")</f>
        <v/>
      </c>
      <c r="AP51" s="557" t="str">
        <f t="shared" si="23"/>
        <v/>
      </c>
      <c r="AQ51" s="561" t="str">
        <f t="shared" si="24"/>
        <v/>
      </c>
      <c r="AR51" s="540" t="str">
        <f t="shared" si="25"/>
        <v>入力済</v>
      </c>
      <c r="AS51" s="578" t="str">
        <f t="shared" si="12"/>
        <v/>
      </c>
      <c r="AT51" s="540" t="str">
        <f t="shared" si="26"/>
        <v>入力済</v>
      </c>
      <c r="AU51" s="540" t="str">
        <f t="shared" si="32"/>
        <v/>
      </c>
      <c r="AV51" s="540" t="str">
        <f t="shared" si="27"/>
        <v/>
      </c>
      <c r="AW51" s="557" t="str">
        <f t="shared" si="28"/>
        <v/>
      </c>
      <c r="AX51" s="578" t="str">
        <f t="shared" si="14"/>
        <v/>
      </c>
      <c r="AY51" s="540" t="str">
        <f>IFERROR(VLOOKUP(K51,【参考】数式用!$AR$5:$AS$39,2, FALSE), "")</f>
        <v/>
      </c>
      <c r="AZ51" s="557" t="str">
        <f t="shared" si="15"/>
        <v/>
      </c>
      <c r="BA51" s="560" t="str">
        <f t="shared" si="29"/>
        <v>入力済</v>
      </c>
      <c r="BB51" s="540" t="str">
        <f>IFERROR(VLOOKUP(K51,【参考】数式用!$AX$3:$AY$59, 2, FALSE), "")</f>
        <v/>
      </c>
      <c r="BC51" s="578" t="str">
        <f t="shared" si="16"/>
        <v/>
      </c>
      <c r="BD51" s="560" t="str">
        <f t="shared" si="30"/>
        <v>入力済</v>
      </c>
      <c r="BE51" s="577" t="str">
        <f t="shared" si="17"/>
        <v/>
      </c>
      <c r="BF51" s="560" t="str">
        <f t="shared" si="31"/>
        <v/>
      </c>
      <c r="BG51" s="597"/>
      <c r="BH51" s="593" t="str">
        <f t="shared" si="18"/>
        <v/>
      </c>
      <c r="BI51" s="616" t="str">
        <f>IF(BH51="Ⅱロ有り",ROUNDDOWN(L51*VLOOKUP(K51,【参考】数式用!$A$4:$J$42,10,FALSE)*AA51,0),"")</f>
        <v/>
      </c>
      <c r="BJ51" s="616" t="str">
        <f>IF(BH51="Ⅱロなし",ROUNDDOWN(L51*VLOOKUP(K51,【参考】数式用!$A$4:$J$42,8,FALSE)*AA51,0),"")</f>
        <v/>
      </c>
    </row>
    <row r="52" spans="1:62" ht="109.9" customHeight="1" thickBot="1">
      <c r="A52" s="303">
        <v>39</v>
      </c>
      <c r="B52" s="956" t="str">
        <f>IF(基本情報入力シート!B74="","",基本情報入力シート!B74)</f>
        <v/>
      </c>
      <c r="C52" s="957"/>
      <c r="D52" s="957"/>
      <c r="E52" s="957"/>
      <c r="F52" s="958"/>
      <c r="G52" s="304" t="str">
        <f>IF(基本情報入力シート!L74="", "", 基本情報入力シート!L74)</f>
        <v/>
      </c>
      <c r="H52" s="304" t="str">
        <f>IF(基本情報入力シート!Q74="", "", 基本情報入力シート!Q74)</f>
        <v/>
      </c>
      <c r="I52" s="304" t="str">
        <f>IF(基本情報入力シート!V74="", "", 基本情報入力シート!V74)</f>
        <v/>
      </c>
      <c r="J52" s="304" t="str">
        <f>IF(基本情報入力シート!W74="", "", 基本情報入力シート!W74)</f>
        <v/>
      </c>
      <c r="K52" s="304" t="str">
        <f>IF(基本情報入力シート!Z74="", "", 基本情報入力シート!Z74)</f>
        <v/>
      </c>
      <c r="L52" s="558" t="str">
        <f>IF(基本情報入力シート!AF74=0, "",基本情報入力シート!AF74)</f>
        <v/>
      </c>
      <c r="M52" s="588"/>
      <c r="N52" s="522" t="str">
        <f>IFERROR(VLOOKUP(K52,【参考】数式用!$A$2:$F$57,MATCH(M52,【参考】数式用!$C$3:$F$3,0)+2,0),"")</f>
        <v/>
      </c>
      <c r="O52" s="511"/>
      <c r="P52" s="555" t="str">
        <f>IFERROR(VLOOKUP(K52,【参考】数式用!$A$2:$F$57,MATCH(O52,【参考】数式用!$C$3:$F$3,0)+2,0),"")</f>
        <v/>
      </c>
      <c r="Q52" s="310" t="s">
        <v>118</v>
      </c>
      <c r="R52" s="308"/>
      <c r="S52" s="309" t="s">
        <v>183</v>
      </c>
      <c r="T52" s="308"/>
      <c r="U52" s="309" t="s">
        <v>184</v>
      </c>
      <c r="V52" s="308"/>
      <c r="W52" s="309" t="s">
        <v>183</v>
      </c>
      <c r="X52" s="308"/>
      <c r="Y52" s="309" t="s">
        <v>185</v>
      </c>
      <c r="Z52" s="309" t="s">
        <v>186</v>
      </c>
      <c r="AA52" s="309" t="str">
        <f t="shared" si="21"/>
        <v/>
      </c>
      <c r="AB52" s="305" t="s">
        <v>187</v>
      </c>
      <c r="AC52" s="306" t="str">
        <f t="shared" si="10"/>
        <v/>
      </c>
      <c r="AD52" s="515" t="str">
        <f t="shared" si="11"/>
        <v/>
      </c>
      <c r="AE52" s="307" t="str">
        <f>IFERROR(ROUNDDOWN(ROUNDDOWN(ROUND(L52*VLOOKUP(K52,【参考】数式用!$A$4:$F$57,MATCH("処遇改善加算Ⅳ",【参考】数式用!$C$3:$F$3,0)+2,0),0),0)*AA52*0.5,0), "")</f>
        <v/>
      </c>
      <c r="AF52" s="318"/>
      <c r="AG52" s="319"/>
      <c r="AH52" s="319"/>
      <c r="AI52" s="318"/>
      <c r="AJ52" s="320"/>
      <c r="AK52" s="326"/>
      <c r="AL52" s="324" t="str">
        <f t="shared" si="22"/>
        <v/>
      </c>
      <c r="AM52" s="325" t="str">
        <f t="shared" si="20"/>
        <v/>
      </c>
      <c r="AN52" s="255"/>
      <c r="AO52" s="557" t="str">
        <f>IFERROR(VLOOKUP(K52,【参考】数式用!$A$2:$N$57,14,FALSE),"")</f>
        <v/>
      </c>
      <c r="AP52" s="557" t="str">
        <f t="shared" si="23"/>
        <v/>
      </c>
      <c r="AQ52" s="561" t="str">
        <f t="shared" si="24"/>
        <v/>
      </c>
      <c r="AR52" s="540" t="str">
        <f t="shared" si="25"/>
        <v>入力済</v>
      </c>
      <c r="AS52" s="578" t="str">
        <f t="shared" si="12"/>
        <v/>
      </c>
      <c r="AT52" s="540" t="str">
        <f t="shared" si="26"/>
        <v>入力済</v>
      </c>
      <c r="AU52" s="540" t="str">
        <f t="shared" si="32"/>
        <v/>
      </c>
      <c r="AV52" s="540" t="str">
        <f t="shared" si="27"/>
        <v/>
      </c>
      <c r="AW52" s="557" t="str">
        <f t="shared" si="28"/>
        <v/>
      </c>
      <c r="AX52" s="578" t="str">
        <f t="shared" si="14"/>
        <v/>
      </c>
      <c r="AY52" s="540" t="str">
        <f>IFERROR(VLOOKUP(K52,【参考】数式用!$AR$5:$AS$39,2, FALSE), "")</f>
        <v/>
      </c>
      <c r="AZ52" s="557" t="str">
        <f t="shared" si="15"/>
        <v/>
      </c>
      <c r="BA52" s="560" t="str">
        <f t="shared" si="29"/>
        <v>入力済</v>
      </c>
      <c r="BB52" s="540" t="str">
        <f>IFERROR(VLOOKUP(K52,【参考】数式用!$AX$3:$AY$59, 2, FALSE), "")</f>
        <v/>
      </c>
      <c r="BC52" s="578" t="str">
        <f t="shared" si="16"/>
        <v/>
      </c>
      <c r="BD52" s="560" t="str">
        <f t="shared" si="30"/>
        <v>入力済</v>
      </c>
      <c r="BE52" s="577" t="str">
        <f t="shared" si="17"/>
        <v/>
      </c>
      <c r="BF52" s="560" t="str">
        <f t="shared" si="31"/>
        <v/>
      </c>
      <c r="BG52" s="597"/>
      <c r="BH52" s="593" t="str">
        <f t="shared" si="18"/>
        <v/>
      </c>
      <c r="BI52" s="616" t="str">
        <f>IF(BH52="Ⅱロ有り",ROUNDDOWN(L52*VLOOKUP(K52,【参考】数式用!$A$4:$J$42,10,FALSE)*AA52,0),"")</f>
        <v/>
      </c>
      <c r="BJ52" s="616" t="str">
        <f>IF(BH52="Ⅱロなし",ROUNDDOWN(L52*VLOOKUP(K52,【参考】数式用!$A$4:$J$42,8,FALSE)*AA52,0),"")</f>
        <v/>
      </c>
    </row>
    <row r="53" spans="1:62" ht="109.9" customHeight="1" thickBot="1">
      <c r="A53" s="303">
        <v>40</v>
      </c>
      <c r="B53" s="956" t="str">
        <f>IF(基本情報入力シート!B75="","",基本情報入力シート!B75)</f>
        <v/>
      </c>
      <c r="C53" s="957"/>
      <c r="D53" s="957"/>
      <c r="E53" s="957"/>
      <c r="F53" s="958"/>
      <c r="G53" s="304" t="str">
        <f>IF(基本情報入力シート!L75="", "", 基本情報入力シート!L75)</f>
        <v/>
      </c>
      <c r="H53" s="304" t="str">
        <f>IF(基本情報入力シート!Q75="", "", 基本情報入力シート!Q75)</f>
        <v/>
      </c>
      <c r="I53" s="304" t="str">
        <f>IF(基本情報入力シート!V75="", "", 基本情報入力シート!V75)</f>
        <v/>
      </c>
      <c r="J53" s="304" t="str">
        <f>IF(基本情報入力シート!W75="", "", 基本情報入力シート!W75)</f>
        <v/>
      </c>
      <c r="K53" s="304" t="str">
        <f>IF(基本情報入力シート!Z75="", "", 基本情報入力シート!Z75)</f>
        <v/>
      </c>
      <c r="L53" s="558" t="str">
        <f>IF(基本情報入力シート!AF75=0, "",基本情報入力シート!AF75)</f>
        <v/>
      </c>
      <c r="M53" s="588"/>
      <c r="N53" s="522" t="str">
        <f>IFERROR(VLOOKUP(K53,【参考】数式用!$A$2:$F$57,MATCH(M53,【参考】数式用!$C$3:$F$3,0)+2,0),"")</f>
        <v/>
      </c>
      <c r="O53" s="511"/>
      <c r="P53" s="555" t="str">
        <f>IFERROR(VLOOKUP(K53,【参考】数式用!$A$2:$F$57,MATCH(O53,【参考】数式用!$C$3:$F$3,0)+2,0),"")</f>
        <v/>
      </c>
      <c r="Q53" s="310" t="s">
        <v>118</v>
      </c>
      <c r="R53" s="308"/>
      <c r="S53" s="309" t="s">
        <v>183</v>
      </c>
      <c r="T53" s="308"/>
      <c r="U53" s="309" t="s">
        <v>184</v>
      </c>
      <c r="V53" s="308"/>
      <c r="W53" s="309" t="s">
        <v>183</v>
      </c>
      <c r="X53" s="308"/>
      <c r="Y53" s="309" t="s">
        <v>185</v>
      </c>
      <c r="Z53" s="309" t="s">
        <v>186</v>
      </c>
      <c r="AA53" s="309" t="str">
        <f t="shared" si="21"/>
        <v/>
      </c>
      <c r="AB53" s="305" t="s">
        <v>187</v>
      </c>
      <c r="AC53" s="306" t="str">
        <f t="shared" si="10"/>
        <v/>
      </c>
      <c r="AD53" s="515" t="str">
        <f t="shared" si="11"/>
        <v/>
      </c>
      <c r="AE53" s="307" t="str">
        <f>IFERROR(ROUNDDOWN(ROUNDDOWN(ROUND(L53*VLOOKUP(K53,【参考】数式用!$A$4:$F$57,MATCH("処遇改善加算Ⅳ",【参考】数式用!$C$3:$F$3,0)+2,0),0),0)*AA53*0.5,0), "")</f>
        <v/>
      </c>
      <c r="AF53" s="318"/>
      <c r="AG53" s="319"/>
      <c r="AH53" s="319"/>
      <c r="AI53" s="318"/>
      <c r="AJ53" s="320"/>
      <c r="AK53" s="326"/>
      <c r="AL53" s="324" t="str">
        <f t="shared" si="22"/>
        <v/>
      </c>
      <c r="AM53" s="325" t="str">
        <f t="shared" si="20"/>
        <v/>
      </c>
      <c r="AN53" s="255"/>
      <c r="AO53" s="557" t="str">
        <f>IFERROR(VLOOKUP(K53,【参考】数式用!$A$2:$N$57,14,FALSE),"")</f>
        <v/>
      </c>
      <c r="AP53" s="557" t="str">
        <f t="shared" si="23"/>
        <v/>
      </c>
      <c r="AQ53" s="561" t="str">
        <f t="shared" si="24"/>
        <v/>
      </c>
      <c r="AR53" s="540" t="str">
        <f t="shared" si="25"/>
        <v>入力済</v>
      </c>
      <c r="AS53" s="578" t="str">
        <f t="shared" si="12"/>
        <v/>
      </c>
      <c r="AT53" s="540" t="str">
        <f t="shared" si="26"/>
        <v>入力済</v>
      </c>
      <c r="AU53" s="540" t="str">
        <f t="shared" si="32"/>
        <v/>
      </c>
      <c r="AV53" s="540" t="str">
        <f t="shared" si="27"/>
        <v/>
      </c>
      <c r="AW53" s="557" t="str">
        <f t="shared" si="28"/>
        <v/>
      </c>
      <c r="AX53" s="578" t="str">
        <f t="shared" si="14"/>
        <v/>
      </c>
      <c r="AY53" s="540" t="str">
        <f>IFERROR(VLOOKUP(K53,【参考】数式用!$AR$5:$AS$39,2, FALSE), "")</f>
        <v/>
      </c>
      <c r="AZ53" s="557" t="str">
        <f t="shared" si="15"/>
        <v/>
      </c>
      <c r="BA53" s="560" t="str">
        <f t="shared" si="29"/>
        <v>入力済</v>
      </c>
      <c r="BB53" s="540" t="str">
        <f>IFERROR(VLOOKUP(K53,【参考】数式用!$AX$3:$AY$59, 2, FALSE), "")</f>
        <v/>
      </c>
      <c r="BC53" s="578" t="str">
        <f t="shared" si="16"/>
        <v/>
      </c>
      <c r="BD53" s="560" t="str">
        <f t="shared" si="30"/>
        <v>入力済</v>
      </c>
      <c r="BE53" s="577" t="str">
        <f t="shared" si="17"/>
        <v/>
      </c>
      <c r="BF53" s="560" t="str">
        <f t="shared" si="31"/>
        <v/>
      </c>
      <c r="BG53" s="597"/>
      <c r="BH53" s="593" t="str">
        <f t="shared" si="18"/>
        <v/>
      </c>
      <c r="BI53" s="616" t="str">
        <f>IF(BH53="Ⅱロ有り",ROUNDDOWN(L53*VLOOKUP(K53,【参考】数式用!$A$4:$J$42,10,FALSE)*AA53,0),"")</f>
        <v/>
      </c>
      <c r="BJ53" s="616" t="str">
        <f>IF(BH53="Ⅱロなし",ROUNDDOWN(L53*VLOOKUP(K53,【参考】数式用!$A$4:$J$42,8,FALSE)*AA53,0),"")</f>
        <v/>
      </c>
    </row>
    <row r="54" spans="1:62" ht="109.9" customHeight="1" thickBot="1">
      <c r="A54" s="303">
        <v>41</v>
      </c>
      <c r="B54" s="956" t="str">
        <f>IF(基本情報入力シート!B76="","",基本情報入力シート!B76)</f>
        <v/>
      </c>
      <c r="C54" s="957"/>
      <c r="D54" s="957"/>
      <c r="E54" s="957"/>
      <c r="F54" s="958"/>
      <c r="G54" s="304" t="str">
        <f>IF(基本情報入力シート!L76="", "", 基本情報入力シート!L76)</f>
        <v/>
      </c>
      <c r="H54" s="304" t="str">
        <f>IF(基本情報入力シート!Q76="", "", 基本情報入力シート!Q76)</f>
        <v/>
      </c>
      <c r="I54" s="304" t="str">
        <f>IF(基本情報入力シート!V76="", "", 基本情報入力シート!V76)</f>
        <v/>
      </c>
      <c r="J54" s="304" t="str">
        <f>IF(基本情報入力シート!W76="", "", 基本情報入力シート!W76)</f>
        <v/>
      </c>
      <c r="K54" s="304" t="str">
        <f>IF(基本情報入力シート!Z76="", "", 基本情報入力シート!Z76)</f>
        <v/>
      </c>
      <c r="L54" s="558" t="str">
        <f>IF(基本情報入力シート!AF76=0, "",基本情報入力シート!AF76)</f>
        <v/>
      </c>
      <c r="M54" s="588"/>
      <c r="N54" s="522" t="str">
        <f>IFERROR(VLOOKUP(K54,【参考】数式用!$A$2:$F$57,MATCH(M54,【参考】数式用!$C$3:$F$3,0)+2,0),"")</f>
        <v/>
      </c>
      <c r="O54" s="511"/>
      <c r="P54" s="555" t="str">
        <f>IFERROR(VLOOKUP(K54,【参考】数式用!$A$2:$F$57,MATCH(O54,【参考】数式用!$C$3:$F$3,0)+2,0),"")</f>
        <v/>
      </c>
      <c r="Q54" s="310" t="s">
        <v>118</v>
      </c>
      <c r="R54" s="308"/>
      <c r="S54" s="309" t="s">
        <v>183</v>
      </c>
      <c r="T54" s="308"/>
      <c r="U54" s="309" t="s">
        <v>184</v>
      </c>
      <c r="V54" s="308"/>
      <c r="W54" s="309" t="s">
        <v>183</v>
      </c>
      <c r="X54" s="308"/>
      <c r="Y54" s="309" t="s">
        <v>185</v>
      </c>
      <c r="Z54" s="309" t="s">
        <v>186</v>
      </c>
      <c r="AA54" s="309" t="str">
        <f t="shared" si="21"/>
        <v/>
      </c>
      <c r="AB54" s="305" t="s">
        <v>187</v>
      </c>
      <c r="AC54" s="306" t="str">
        <f t="shared" si="10"/>
        <v/>
      </c>
      <c r="AD54" s="515" t="str">
        <f t="shared" si="11"/>
        <v/>
      </c>
      <c r="AE54" s="307" t="str">
        <f>IFERROR(ROUNDDOWN(ROUNDDOWN(ROUND(L54*VLOOKUP(K54,【参考】数式用!$A$4:$F$57,MATCH("処遇改善加算Ⅳ",【参考】数式用!$C$3:$F$3,0)+2,0),0),0)*AA54*0.5,0), "")</f>
        <v/>
      </c>
      <c r="AF54" s="318"/>
      <c r="AG54" s="319"/>
      <c r="AH54" s="319"/>
      <c r="AI54" s="318"/>
      <c r="AJ54" s="320"/>
      <c r="AK54" s="326"/>
      <c r="AL54" s="324" t="str">
        <f t="shared" si="22"/>
        <v/>
      </c>
      <c r="AM54" s="325" t="str">
        <f t="shared" si="20"/>
        <v/>
      </c>
      <c r="AN54" s="255"/>
      <c r="AO54" s="557" t="str">
        <f>IFERROR(VLOOKUP(K54,【参考】数式用!$A$2:$N$57,14,FALSE),"")</f>
        <v/>
      </c>
      <c r="AP54" s="557" t="str">
        <f t="shared" si="23"/>
        <v/>
      </c>
      <c r="AQ54" s="561" t="str">
        <f t="shared" si="24"/>
        <v/>
      </c>
      <c r="AR54" s="540" t="str">
        <f t="shared" si="25"/>
        <v>入力済</v>
      </c>
      <c r="AS54" s="578" t="str">
        <f t="shared" si="12"/>
        <v/>
      </c>
      <c r="AT54" s="540" t="str">
        <f t="shared" si="26"/>
        <v>入力済</v>
      </c>
      <c r="AU54" s="540" t="str">
        <f t="shared" si="32"/>
        <v/>
      </c>
      <c r="AV54" s="540" t="str">
        <f t="shared" si="27"/>
        <v/>
      </c>
      <c r="AW54" s="557" t="str">
        <f t="shared" si="28"/>
        <v/>
      </c>
      <c r="AX54" s="578" t="str">
        <f t="shared" si="14"/>
        <v/>
      </c>
      <c r="AY54" s="540" t="str">
        <f>IFERROR(VLOOKUP(K54,【参考】数式用!$AR$5:$AS$39,2, FALSE), "")</f>
        <v/>
      </c>
      <c r="AZ54" s="557" t="str">
        <f t="shared" si="15"/>
        <v/>
      </c>
      <c r="BA54" s="560" t="str">
        <f t="shared" si="29"/>
        <v>入力済</v>
      </c>
      <c r="BB54" s="540" t="str">
        <f>IFERROR(VLOOKUP(K54,【参考】数式用!$AX$3:$AY$59, 2, FALSE), "")</f>
        <v/>
      </c>
      <c r="BC54" s="578" t="str">
        <f t="shared" si="16"/>
        <v/>
      </c>
      <c r="BD54" s="560" t="str">
        <f t="shared" si="30"/>
        <v>入力済</v>
      </c>
      <c r="BE54" s="577" t="str">
        <f t="shared" si="17"/>
        <v/>
      </c>
      <c r="BF54" s="560" t="str">
        <f t="shared" si="31"/>
        <v/>
      </c>
      <c r="BG54" s="597"/>
      <c r="BH54" s="593" t="str">
        <f t="shared" si="18"/>
        <v/>
      </c>
      <c r="BI54" s="616" t="str">
        <f>IF(BH54="Ⅱロ有り",ROUNDDOWN(L54*VLOOKUP(K54,【参考】数式用!$A$4:$J$42,10,FALSE)*AA54,0),"")</f>
        <v/>
      </c>
      <c r="BJ54" s="616" t="str">
        <f>IF(BH54="Ⅱロなし",ROUNDDOWN(L54*VLOOKUP(K54,【参考】数式用!$A$4:$J$42,8,FALSE)*AA54,0),"")</f>
        <v/>
      </c>
    </row>
    <row r="55" spans="1:62" ht="109.9" customHeight="1" thickBot="1">
      <c r="A55" s="303">
        <v>42</v>
      </c>
      <c r="B55" s="956" t="str">
        <f>IF(基本情報入力シート!B77="","",基本情報入力シート!B77)</f>
        <v/>
      </c>
      <c r="C55" s="957"/>
      <c r="D55" s="957"/>
      <c r="E55" s="957"/>
      <c r="F55" s="958"/>
      <c r="G55" s="304" t="str">
        <f>IF(基本情報入力シート!L77="", "", 基本情報入力シート!L77)</f>
        <v/>
      </c>
      <c r="H55" s="304" t="str">
        <f>IF(基本情報入力シート!Q77="", "", 基本情報入力シート!Q77)</f>
        <v/>
      </c>
      <c r="I55" s="304" t="str">
        <f>IF(基本情報入力シート!V77="", "", 基本情報入力シート!V77)</f>
        <v/>
      </c>
      <c r="J55" s="304" t="str">
        <f>IF(基本情報入力シート!W77="", "", 基本情報入力シート!W77)</f>
        <v/>
      </c>
      <c r="K55" s="304" t="str">
        <f>IF(基本情報入力シート!Z77="", "", 基本情報入力シート!Z77)</f>
        <v/>
      </c>
      <c r="L55" s="558" t="str">
        <f>IF(基本情報入力シート!AF77=0, "",基本情報入力シート!AF77)</f>
        <v/>
      </c>
      <c r="M55" s="588"/>
      <c r="N55" s="522" t="str">
        <f>IFERROR(VLOOKUP(K55,【参考】数式用!$A$2:$F$57,MATCH(M55,【参考】数式用!$C$3:$F$3,0)+2,0),"")</f>
        <v/>
      </c>
      <c r="O55" s="511"/>
      <c r="P55" s="555" t="str">
        <f>IFERROR(VLOOKUP(K55,【参考】数式用!$A$2:$F$57,MATCH(O55,【参考】数式用!$C$3:$F$3,0)+2,0),"")</f>
        <v/>
      </c>
      <c r="Q55" s="310" t="s">
        <v>118</v>
      </c>
      <c r="R55" s="308"/>
      <c r="S55" s="309" t="s">
        <v>183</v>
      </c>
      <c r="T55" s="308"/>
      <c r="U55" s="309" t="s">
        <v>184</v>
      </c>
      <c r="V55" s="308"/>
      <c r="W55" s="309" t="s">
        <v>183</v>
      </c>
      <c r="X55" s="308"/>
      <c r="Y55" s="309" t="s">
        <v>185</v>
      </c>
      <c r="Z55" s="309" t="s">
        <v>186</v>
      </c>
      <c r="AA55" s="309" t="str">
        <f t="shared" si="21"/>
        <v/>
      </c>
      <c r="AB55" s="305" t="s">
        <v>187</v>
      </c>
      <c r="AC55" s="306" t="str">
        <f t="shared" si="10"/>
        <v/>
      </c>
      <c r="AD55" s="515" t="str">
        <f t="shared" si="11"/>
        <v/>
      </c>
      <c r="AE55" s="307" t="str">
        <f>IFERROR(ROUNDDOWN(ROUNDDOWN(ROUND(L55*VLOOKUP(K55,【参考】数式用!$A$4:$F$57,MATCH("処遇改善加算Ⅳ",【参考】数式用!$C$3:$F$3,0)+2,0),0),0)*AA55*0.5,0), "")</f>
        <v/>
      </c>
      <c r="AF55" s="318"/>
      <c r="AG55" s="319"/>
      <c r="AH55" s="319"/>
      <c r="AI55" s="318"/>
      <c r="AJ55" s="320"/>
      <c r="AK55" s="326"/>
      <c r="AL55" s="324" t="str">
        <f t="shared" si="22"/>
        <v/>
      </c>
      <c r="AM55" s="325" t="str">
        <f t="shared" si="20"/>
        <v/>
      </c>
      <c r="AN55" s="255"/>
      <c r="AO55" s="557" t="str">
        <f>IFERROR(VLOOKUP(K55,【参考】数式用!$A$2:$N$57,14,FALSE),"")</f>
        <v/>
      </c>
      <c r="AP55" s="557" t="str">
        <f t="shared" si="23"/>
        <v/>
      </c>
      <c r="AQ55" s="561" t="str">
        <f t="shared" si="24"/>
        <v/>
      </c>
      <c r="AR55" s="540" t="str">
        <f t="shared" si="25"/>
        <v>入力済</v>
      </c>
      <c r="AS55" s="578" t="str">
        <f t="shared" si="12"/>
        <v/>
      </c>
      <c r="AT55" s="540" t="str">
        <f t="shared" si="26"/>
        <v>入力済</v>
      </c>
      <c r="AU55" s="540" t="str">
        <f t="shared" si="32"/>
        <v/>
      </c>
      <c r="AV55" s="540" t="str">
        <f t="shared" si="27"/>
        <v/>
      </c>
      <c r="AW55" s="557" t="str">
        <f t="shared" si="28"/>
        <v/>
      </c>
      <c r="AX55" s="578" t="str">
        <f t="shared" si="14"/>
        <v/>
      </c>
      <c r="AY55" s="540" t="str">
        <f>IFERROR(VLOOKUP(K55,【参考】数式用!$AR$5:$AS$39,2, FALSE), "")</f>
        <v/>
      </c>
      <c r="AZ55" s="557" t="str">
        <f t="shared" si="15"/>
        <v/>
      </c>
      <c r="BA55" s="560" t="str">
        <f t="shared" si="29"/>
        <v>入力済</v>
      </c>
      <c r="BB55" s="540" t="str">
        <f>IFERROR(VLOOKUP(K55,【参考】数式用!$AX$3:$AY$59, 2, FALSE), "")</f>
        <v/>
      </c>
      <c r="BC55" s="578" t="str">
        <f t="shared" si="16"/>
        <v/>
      </c>
      <c r="BD55" s="560" t="str">
        <f t="shared" si="30"/>
        <v>入力済</v>
      </c>
      <c r="BE55" s="577" t="str">
        <f t="shared" si="17"/>
        <v/>
      </c>
      <c r="BF55" s="560" t="str">
        <f t="shared" si="31"/>
        <v/>
      </c>
      <c r="BG55" s="597"/>
      <c r="BH55" s="593" t="str">
        <f t="shared" si="18"/>
        <v/>
      </c>
      <c r="BI55" s="616" t="str">
        <f>IF(BH55="Ⅱロ有り",ROUNDDOWN(L55*VLOOKUP(K55,【参考】数式用!$A$4:$J$42,10,FALSE)*AA55,0),"")</f>
        <v/>
      </c>
      <c r="BJ55" s="616" t="str">
        <f>IF(BH55="Ⅱロなし",ROUNDDOWN(L55*VLOOKUP(K55,【参考】数式用!$A$4:$J$42,8,FALSE)*AA55,0),"")</f>
        <v/>
      </c>
    </row>
    <row r="56" spans="1:62" ht="109.9" customHeight="1" thickBot="1">
      <c r="A56" s="303">
        <v>43</v>
      </c>
      <c r="B56" s="956" t="str">
        <f>IF(基本情報入力シート!B78="","",基本情報入力シート!B78)</f>
        <v/>
      </c>
      <c r="C56" s="957"/>
      <c r="D56" s="957"/>
      <c r="E56" s="957"/>
      <c r="F56" s="958"/>
      <c r="G56" s="304" t="str">
        <f>IF(基本情報入力シート!L78="", "", 基本情報入力シート!L78)</f>
        <v/>
      </c>
      <c r="H56" s="304" t="str">
        <f>IF(基本情報入力シート!Q78="", "", 基本情報入力シート!Q78)</f>
        <v/>
      </c>
      <c r="I56" s="304" t="str">
        <f>IF(基本情報入力シート!V78="", "", 基本情報入力シート!V78)</f>
        <v/>
      </c>
      <c r="J56" s="304" t="str">
        <f>IF(基本情報入力シート!W78="", "", 基本情報入力シート!W78)</f>
        <v/>
      </c>
      <c r="K56" s="304" t="str">
        <f>IF(基本情報入力シート!Z78="", "", 基本情報入力シート!Z78)</f>
        <v/>
      </c>
      <c r="L56" s="558" t="str">
        <f>IF(基本情報入力シート!AF78=0, "",基本情報入力シート!AF78)</f>
        <v/>
      </c>
      <c r="M56" s="588"/>
      <c r="N56" s="522" t="str">
        <f>IFERROR(VLOOKUP(K56,【参考】数式用!$A$2:$F$57,MATCH(M56,【参考】数式用!$C$3:$F$3,0)+2,0),"")</f>
        <v/>
      </c>
      <c r="O56" s="511"/>
      <c r="P56" s="555" t="str">
        <f>IFERROR(VLOOKUP(K56,【参考】数式用!$A$2:$F$57,MATCH(O56,【参考】数式用!$C$3:$F$3,0)+2,0),"")</f>
        <v/>
      </c>
      <c r="Q56" s="310" t="s">
        <v>118</v>
      </c>
      <c r="R56" s="308"/>
      <c r="S56" s="309" t="s">
        <v>183</v>
      </c>
      <c r="T56" s="308"/>
      <c r="U56" s="309" t="s">
        <v>184</v>
      </c>
      <c r="V56" s="308"/>
      <c r="W56" s="309" t="s">
        <v>183</v>
      </c>
      <c r="X56" s="308"/>
      <c r="Y56" s="309" t="s">
        <v>185</v>
      </c>
      <c r="Z56" s="309" t="s">
        <v>186</v>
      </c>
      <c r="AA56" s="309" t="str">
        <f t="shared" si="21"/>
        <v/>
      </c>
      <c r="AB56" s="305" t="s">
        <v>187</v>
      </c>
      <c r="AC56" s="306" t="str">
        <f t="shared" si="10"/>
        <v/>
      </c>
      <c r="AD56" s="515" t="str">
        <f t="shared" si="11"/>
        <v/>
      </c>
      <c r="AE56" s="307" t="str">
        <f>IFERROR(ROUNDDOWN(ROUNDDOWN(ROUND(L56*VLOOKUP(K56,【参考】数式用!$A$4:$F$57,MATCH("処遇改善加算Ⅳ",【参考】数式用!$C$3:$F$3,0)+2,0),0),0)*AA56*0.5,0), "")</f>
        <v/>
      </c>
      <c r="AF56" s="318"/>
      <c r="AG56" s="319"/>
      <c r="AH56" s="319"/>
      <c r="AI56" s="318"/>
      <c r="AJ56" s="320"/>
      <c r="AK56" s="326"/>
      <c r="AL56" s="324" t="str">
        <f t="shared" si="22"/>
        <v/>
      </c>
      <c r="AM56" s="325" t="str">
        <f t="shared" si="20"/>
        <v/>
      </c>
      <c r="AN56" s="255"/>
      <c r="AO56" s="557" t="str">
        <f>IFERROR(VLOOKUP(K56,【参考】数式用!$A$2:$N$57,14,FALSE),"")</f>
        <v/>
      </c>
      <c r="AP56" s="557" t="str">
        <f t="shared" si="23"/>
        <v/>
      </c>
      <c r="AQ56" s="561" t="str">
        <f t="shared" si="24"/>
        <v/>
      </c>
      <c r="AR56" s="540" t="str">
        <f t="shared" si="25"/>
        <v>入力済</v>
      </c>
      <c r="AS56" s="578" t="str">
        <f t="shared" si="12"/>
        <v/>
      </c>
      <c r="AT56" s="540" t="str">
        <f t="shared" si="26"/>
        <v>入力済</v>
      </c>
      <c r="AU56" s="540" t="str">
        <f t="shared" si="32"/>
        <v/>
      </c>
      <c r="AV56" s="540" t="str">
        <f t="shared" si="27"/>
        <v/>
      </c>
      <c r="AW56" s="557" t="str">
        <f t="shared" si="28"/>
        <v/>
      </c>
      <c r="AX56" s="578" t="str">
        <f t="shared" si="14"/>
        <v/>
      </c>
      <c r="AY56" s="540" t="str">
        <f>IFERROR(VLOOKUP(K56,【参考】数式用!$AR$5:$AS$39,2, FALSE), "")</f>
        <v/>
      </c>
      <c r="AZ56" s="557" t="str">
        <f t="shared" si="15"/>
        <v/>
      </c>
      <c r="BA56" s="560" t="str">
        <f t="shared" si="29"/>
        <v>入力済</v>
      </c>
      <c r="BB56" s="540" t="str">
        <f>IFERROR(VLOOKUP(K56,【参考】数式用!$AX$3:$AY$59, 2, FALSE), "")</f>
        <v/>
      </c>
      <c r="BC56" s="578" t="str">
        <f t="shared" si="16"/>
        <v/>
      </c>
      <c r="BD56" s="560" t="str">
        <f t="shared" si="30"/>
        <v>入力済</v>
      </c>
      <c r="BE56" s="577" t="str">
        <f t="shared" si="17"/>
        <v/>
      </c>
      <c r="BF56" s="560" t="str">
        <f t="shared" si="31"/>
        <v/>
      </c>
      <c r="BG56" s="597"/>
      <c r="BH56" s="593" t="str">
        <f t="shared" si="18"/>
        <v/>
      </c>
      <c r="BI56" s="616" t="str">
        <f>IF(BH56="Ⅱロ有り",ROUNDDOWN(L56*VLOOKUP(K56,【参考】数式用!$A$4:$J$42,10,FALSE)*AA56,0),"")</f>
        <v/>
      </c>
      <c r="BJ56" s="616" t="str">
        <f>IF(BH56="Ⅱロなし",ROUNDDOWN(L56*VLOOKUP(K56,【参考】数式用!$A$4:$J$42,8,FALSE)*AA56,0),"")</f>
        <v/>
      </c>
    </row>
    <row r="57" spans="1:62" ht="109.9" customHeight="1" thickBot="1">
      <c r="A57" s="303">
        <v>44</v>
      </c>
      <c r="B57" s="956" t="str">
        <f>IF(基本情報入力シート!B79="","",基本情報入力シート!B79)</f>
        <v/>
      </c>
      <c r="C57" s="957"/>
      <c r="D57" s="957"/>
      <c r="E57" s="957"/>
      <c r="F57" s="958"/>
      <c r="G57" s="304" t="str">
        <f>IF(基本情報入力シート!L79="", "", 基本情報入力シート!L79)</f>
        <v/>
      </c>
      <c r="H57" s="304" t="str">
        <f>IF(基本情報入力シート!Q79="", "", 基本情報入力シート!Q79)</f>
        <v/>
      </c>
      <c r="I57" s="304" t="str">
        <f>IF(基本情報入力シート!V79="", "", 基本情報入力シート!V79)</f>
        <v/>
      </c>
      <c r="J57" s="304" t="str">
        <f>IF(基本情報入力シート!W79="", "", 基本情報入力シート!W79)</f>
        <v/>
      </c>
      <c r="K57" s="304" t="str">
        <f>IF(基本情報入力シート!Z79="", "", 基本情報入力シート!Z79)</f>
        <v/>
      </c>
      <c r="L57" s="558" t="str">
        <f>IF(基本情報入力シート!AF79=0, "",基本情報入力シート!AF79)</f>
        <v/>
      </c>
      <c r="M57" s="588"/>
      <c r="N57" s="522" t="str">
        <f>IFERROR(VLOOKUP(K57,【参考】数式用!$A$2:$F$57,MATCH(M57,【参考】数式用!$C$3:$F$3,0)+2,0),"")</f>
        <v/>
      </c>
      <c r="O57" s="511"/>
      <c r="P57" s="555" t="str">
        <f>IFERROR(VLOOKUP(K57,【参考】数式用!$A$2:$F$57,MATCH(O57,【参考】数式用!$C$3:$F$3,0)+2,0),"")</f>
        <v/>
      </c>
      <c r="Q57" s="310" t="s">
        <v>118</v>
      </c>
      <c r="R57" s="308"/>
      <c r="S57" s="309" t="s">
        <v>183</v>
      </c>
      <c r="T57" s="308"/>
      <c r="U57" s="309" t="s">
        <v>184</v>
      </c>
      <c r="V57" s="308"/>
      <c r="W57" s="309" t="s">
        <v>183</v>
      </c>
      <c r="X57" s="308"/>
      <c r="Y57" s="309" t="s">
        <v>185</v>
      </c>
      <c r="Z57" s="309" t="s">
        <v>186</v>
      </c>
      <c r="AA57" s="309" t="str">
        <f t="shared" si="21"/>
        <v/>
      </c>
      <c r="AB57" s="305" t="s">
        <v>187</v>
      </c>
      <c r="AC57" s="306" t="str">
        <f t="shared" si="10"/>
        <v/>
      </c>
      <c r="AD57" s="515" t="str">
        <f t="shared" si="11"/>
        <v/>
      </c>
      <c r="AE57" s="307" t="str">
        <f>IFERROR(ROUNDDOWN(ROUNDDOWN(ROUND(L57*VLOOKUP(K57,【参考】数式用!$A$4:$F$57,MATCH("処遇改善加算Ⅳ",【参考】数式用!$C$3:$F$3,0)+2,0),0),0)*AA57*0.5,0), "")</f>
        <v/>
      </c>
      <c r="AF57" s="318"/>
      <c r="AG57" s="319"/>
      <c r="AH57" s="319"/>
      <c r="AI57" s="318"/>
      <c r="AJ57" s="320"/>
      <c r="AK57" s="326"/>
      <c r="AL57" s="324" t="str">
        <f t="shared" si="22"/>
        <v/>
      </c>
      <c r="AM57" s="325" t="str">
        <f t="shared" si="20"/>
        <v/>
      </c>
      <c r="AN57" s="255"/>
      <c r="AO57" s="557" t="str">
        <f>IFERROR(VLOOKUP(K57,【参考】数式用!$A$2:$N$57,14,FALSE),"")</f>
        <v/>
      </c>
      <c r="AP57" s="557" t="str">
        <f t="shared" si="23"/>
        <v/>
      </c>
      <c r="AQ57" s="561" t="str">
        <f t="shared" si="24"/>
        <v/>
      </c>
      <c r="AR57" s="540" t="str">
        <f t="shared" si="25"/>
        <v>入力済</v>
      </c>
      <c r="AS57" s="578" t="str">
        <f t="shared" si="12"/>
        <v/>
      </c>
      <c r="AT57" s="540" t="str">
        <f t="shared" si="26"/>
        <v>入力済</v>
      </c>
      <c r="AU57" s="540" t="str">
        <f t="shared" si="32"/>
        <v/>
      </c>
      <c r="AV57" s="540" t="str">
        <f t="shared" si="27"/>
        <v/>
      </c>
      <c r="AW57" s="557" t="str">
        <f t="shared" si="28"/>
        <v/>
      </c>
      <c r="AX57" s="578" t="str">
        <f t="shared" si="14"/>
        <v/>
      </c>
      <c r="AY57" s="540" t="str">
        <f>IFERROR(VLOOKUP(K57,【参考】数式用!$AR$5:$AS$39,2, FALSE), "")</f>
        <v/>
      </c>
      <c r="AZ57" s="557" t="str">
        <f t="shared" si="15"/>
        <v/>
      </c>
      <c r="BA57" s="560" t="str">
        <f t="shared" si="29"/>
        <v>入力済</v>
      </c>
      <c r="BB57" s="540" t="str">
        <f>IFERROR(VLOOKUP(K57,【参考】数式用!$AX$3:$AY$59, 2, FALSE), "")</f>
        <v/>
      </c>
      <c r="BC57" s="578" t="str">
        <f t="shared" si="16"/>
        <v/>
      </c>
      <c r="BD57" s="560" t="str">
        <f t="shared" si="30"/>
        <v>入力済</v>
      </c>
      <c r="BE57" s="577" t="str">
        <f t="shared" si="17"/>
        <v/>
      </c>
      <c r="BF57" s="560" t="str">
        <f t="shared" si="31"/>
        <v/>
      </c>
      <c r="BG57" s="597"/>
      <c r="BH57" s="593" t="str">
        <f t="shared" si="18"/>
        <v/>
      </c>
      <c r="BI57" s="616" t="str">
        <f>IF(BH57="Ⅱロ有り",ROUNDDOWN(L57*VLOOKUP(K57,【参考】数式用!$A$4:$J$42,10,FALSE)*AA57,0),"")</f>
        <v/>
      </c>
      <c r="BJ57" s="616" t="str">
        <f>IF(BH57="Ⅱロなし",ROUNDDOWN(L57*VLOOKUP(K57,【参考】数式用!$A$4:$J$42,8,FALSE)*AA57,0),"")</f>
        <v/>
      </c>
    </row>
    <row r="58" spans="1:62" ht="109.9" customHeight="1" thickBot="1">
      <c r="A58" s="303">
        <v>45</v>
      </c>
      <c r="B58" s="956" t="str">
        <f>IF(基本情報入力シート!B80="","",基本情報入力シート!B80)</f>
        <v/>
      </c>
      <c r="C58" s="957"/>
      <c r="D58" s="957"/>
      <c r="E58" s="957"/>
      <c r="F58" s="958"/>
      <c r="G58" s="304" t="str">
        <f>IF(基本情報入力シート!L80="", "", 基本情報入力シート!L80)</f>
        <v/>
      </c>
      <c r="H58" s="304" t="str">
        <f>IF(基本情報入力シート!Q80="", "", 基本情報入力シート!Q80)</f>
        <v/>
      </c>
      <c r="I58" s="304" t="str">
        <f>IF(基本情報入力シート!V80="", "", 基本情報入力シート!V80)</f>
        <v/>
      </c>
      <c r="J58" s="304" t="str">
        <f>IF(基本情報入力シート!W80="", "", 基本情報入力シート!W80)</f>
        <v/>
      </c>
      <c r="K58" s="304" t="str">
        <f>IF(基本情報入力シート!Z80="", "", 基本情報入力シート!Z80)</f>
        <v/>
      </c>
      <c r="L58" s="558" t="str">
        <f>IF(基本情報入力シート!AF80=0, "",基本情報入力シート!AF80)</f>
        <v/>
      </c>
      <c r="M58" s="588"/>
      <c r="N58" s="522" t="str">
        <f>IFERROR(VLOOKUP(K58,【参考】数式用!$A$2:$F$57,MATCH(M58,【参考】数式用!$C$3:$F$3,0)+2,0),"")</f>
        <v/>
      </c>
      <c r="O58" s="511"/>
      <c r="P58" s="555" t="str">
        <f>IFERROR(VLOOKUP(K58,【参考】数式用!$A$2:$F$57,MATCH(O58,【参考】数式用!$C$3:$F$3,0)+2,0),"")</f>
        <v/>
      </c>
      <c r="Q58" s="310" t="s">
        <v>118</v>
      </c>
      <c r="R58" s="308"/>
      <c r="S58" s="309" t="s">
        <v>183</v>
      </c>
      <c r="T58" s="308"/>
      <c r="U58" s="309" t="s">
        <v>184</v>
      </c>
      <c r="V58" s="308"/>
      <c r="W58" s="309" t="s">
        <v>183</v>
      </c>
      <c r="X58" s="308"/>
      <c r="Y58" s="309" t="s">
        <v>185</v>
      </c>
      <c r="Z58" s="309" t="s">
        <v>186</v>
      </c>
      <c r="AA58" s="309" t="str">
        <f t="shared" si="21"/>
        <v/>
      </c>
      <c r="AB58" s="305" t="s">
        <v>187</v>
      </c>
      <c r="AC58" s="306" t="str">
        <f t="shared" si="10"/>
        <v/>
      </c>
      <c r="AD58" s="515" t="str">
        <f t="shared" si="11"/>
        <v/>
      </c>
      <c r="AE58" s="307" t="str">
        <f>IFERROR(ROUNDDOWN(ROUNDDOWN(ROUND(L58*VLOOKUP(K58,【参考】数式用!$A$4:$F$57,MATCH("処遇改善加算Ⅳ",【参考】数式用!$C$3:$F$3,0)+2,0),0),0)*AA58*0.5,0), "")</f>
        <v/>
      </c>
      <c r="AF58" s="318"/>
      <c r="AG58" s="319"/>
      <c r="AH58" s="319"/>
      <c r="AI58" s="318"/>
      <c r="AJ58" s="320"/>
      <c r="AK58" s="326"/>
      <c r="AL58" s="324" t="str">
        <f t="shared" si="22"/>
        <v/>
      </c>
      <c r="AM58" s="325" t="str">
        <f t="shared" si="20"/>
        <v/>
      </c>
      <c r="AN58" s="255"/>
      <c r="AO58" s="557" t="str">
        <f>IFERROR(VLOOKUP(K58,【参考】数式用!$A$2:$N$57,14,FALSE),"")</f>
        <v/>
      </c>
      <c r="AP58" s="557" t="str">
        <f t="shared" si="23"/>
        <v/>
      </c>
      <c r="AQ58" s="561" t="str">
        <f t="shared" si="24"/>
        <v/>
      </c>
      <c r="AR58" s="540" t="str">
        <f t="shared" si="25"/>
        <v>入力済</v>
      </c>
      <c r="AS58" s="578" t="str">
        <f t="shared" si="12"/>
        <v/>
      </c>
      <c r="AT58" s="540" t="str">
        <f t="shared" si="26"/>
        <v>入力済</v>
      </c>
      <c r="AU58" s="540" t="str">
        <f t="shared" si="32"/>
        <v/>
      </c>
      <c r="AV58" s="540" t="str">
        <f t="shared" si="27"/>
        <v/>
      </c>
      <c r="AW58" s="557" t="str">
        <f t="shared" si="28"/>
        <v/>
      </c>
      <c r="AX58" s="578" t="str">
        <f t="shared" si="14"/>
        <v/>
      </c>
      <c r="AY58" s="540" t="str">
        <f>IFERROR(VLOOKUP(K58,【参考】数式用!$AR$5:$AS$39,2, FALSE), "")</f>
        <v/>
      </c>
      <c r="AZ58" s="557" t="str">
        <f t="shared" si="15"/>
        <v/>
      </c>
      <c r="BA58" s="560" t="str">
        <f t="shared" si="29"/>
        <v>入力済</v>
      </c>
      <c r="BB58" s="540" t="str">
        <f>IFERROR(VLOOKUP(K58,【参考】数式用!$AX$3:$AY$59, 2, FALSE), "")</f>
        <v/>
      </c>
      <c r="BC58" s="578" t="str">
        <f t="shared" si="16"/>
        <v/>
      </c>
      <c r="BD58" s="560" t="str">
        <f t="shared" si="30"/>
        <v>入力済</v>
      </c>
      <c r="BE58" s="577" t="str">
        <f t="shared" si="17"/>
        <v/>
      </c>
      <c r="BF58" s="560" t="str">
        <f t="shared" si="31"/>
        <v/>
      </c>
      <c r="BG58" s="597"/>
      <c r="BH58" s="593" t="str">
        <f t="shared" si="18"/>
        <v/>
      </c>
      <c r="BI58" s="616" t="str">
        <f>IF(BH58="Ⅱロ有り",ROUNDDOWN(L58*VLOOKUP(K58,【参考】数式用!$A$4:$J$42,10,FALSE)*AA58,0),"")</f>
        <v/>
      </c>
      <c r="BJ58" s="616" t="str">
        <f>IF(BH58="Ⅱロなし",ROUNDDOWN(L58*VLOOKUP(K58,【参考】数式用!$A$4:$J$42,8,FALSE)*AA58,0),"")</f>
        <v/>
      </c>
    </row>
    <row r="59" spans="1:62" ht="109.9" customHeight="1" thickBot="1">
      <c r="A59" s="303">
        <v>46</v>
      </c>
      <c r="B59" s="956" t="str">
        <f>IF(基本情報入力シート!B81="","",基本情報入力シート!B81)</f>
        <v/>
      </c>
      <c r="C59" s="957"/>
      <c r="D59" s="957"/>
      <c r="E59" s="957"/>
      <c r="F59" s="958"/>
      <c r="G59" s="304" t="str">
        <f>IF(基本情報入力シート!L81="", "", 基本情報入力シート!L81)</f>
        <v/>
      </c>
      <c r="H59" s="304" t="str">
        <f>IF(基本情報入力シート!Q81="", "", 基本情報入力シート!Q81)</f>
        <v/>
      </c>
      <c r="I59" s="304" t="str">
        <f>IF(基本情報入力シート!V81="", "", 基本情報入力シート!V81)</f>
        <v/>
      </c>
      <c r="J59" s="304" t="str">
        <f>IF(基本情報入力シート!W81="", "", 基本情報入力シート!W81)</f>
        <v/>
      </c>
      <c r="K59" s="304" t="str">
        <f>IF(基本情報入力シート!Z81="", "", 基本情報入力シート!Z81)</f>
        <v/>
      </c>
      <c r="L59" s="558" t="str">
        <f>IF(基本情報入力シート!AF81=0, "",基本情報入力シート!AF81)</f>
        <v/>
      </c>
      <c r="M59" s="588"/>
      <c r="N59" s="522" t="str">
        <f>IFERROR(VLOOKUP(K59,【参考】数式用!$A$2:$F$57,MATCH(M59,【参考】数式用!$C$3:$F$3,0)+2,0),"")</f>
        <v/>
      </c>
      <c r="O59" s="511"/>
      <c r="P59" s="555" t="str">
        <f>IFERROR(VLOOKUP(K59,【参考】数式用!$A$2:$F$57,MATCH(O59,【参考】数式用!$C$3:$F$3,0)+2,0),"")</f>
        <v/>
      </c>
      <c r="Q59" s="310" t="s">
        <v>118</v>
      </c>
      <c r="R59" s="308"/>
      <c r="S59" s="309" t="s">
        <v>183</v>
      </c>
      <c r="T59" s="308"/>
      <c r="U59" s="309" t="s">
        <v>184</v>
      </c>
      <c r="V59" s="308"/>
      <c r="W59" s="309" t="s">
        <v>183</v>
      </c>
      <c r="X59" s="308"/>
      <c r="Y59" s="309" t="s">
        <v>185</v>
      </c>
      <c r="Z59" s="309" t="s">
        <v>186</v>
      </c>
      <c r="AA59" s="309" t="str">
        <f t="shared" si="21"/>
        <v/>
      </c>
      <c r="AB59" s="305" t="s">
        <v>187</v>
      </c>
      <c r="AC59" s="306" t="str">
        <f t="shared" si="10"/>
        <v/>
      </c>
      <c r="AD59" s="515" t="str">
        <f t="shared" si="11"/>
        <v/>
      </c>
      <c r="AE59" s="307" t="str">
        <f>IFERROR(ROUNDDOWN(ROUNDDOWN(ROUND(L59*VLOOKUP(K59,【参考】数式用!$A$4:$F$57,MATCH("処遇改善加算Ⅳ",【参考】数式用!$C$3:$F$3,0)+2,0),0),0)*AA59*0.5,0), "")</f>
        <v/>
      </c>
      <c r="AF59" s="318"/>
      <c r="AG59" s="319"/>
      <c r="AH59" s="319"/>
      <c r="AI59" s="318"/>
      <c r="AJ59" s="320"/>
      <c r="AK59" s="326"/>
      <c r="AL59" s="324" t="str">
        <f t="shared" si="22"/>
        <v/>
      </c>
      <c r="AM59" s="325" t="str">
        <f t="shared" si="20"/>
        <v/>
      </c>
      <c r="AN59" s="255"/>
      <c r="AO59" s="557" t="str">
        <f>IFERROR(VLOOKUP(K59,【参考】数式用!$A$2:$N$57,14,FALSE),"")</f>
        <v/>
      </c>
      <c r="AP59" s="557" t="str">
        <f t="shared" si="23"/>
        <v/>
      </c>
      <c r="AQ59" s="561" t="str">
        <f t="shared" si="24"/>
        <v/>
      </c>
      <c r="AR59" s="540" t="str">
        <f t="shared" si="25"/>
        <v>入力済</v>
      </c>
      <c r="AS59" s="578" t="str">
        <f t="shared" si="12"/>
        <v/>
      </c>
      <c r="AT59" s="540" t="str">
        <f t="shared" si="26"/>
        <v>入力済</v>
      </c>
      <c r="AU59" s="540" t="str">
        <f t="shared" si="32"/>
        <v/>
      </c>
      <c r="AV59" s="540" t="str">
        <f t="shared" si="27"/>
        <v/>
      </c>
      <c r="AW59" s="557" t="str">
        <f t="shared" si="28"/>
        <v/>
      </c>
      <c r="AX59" s="578" t="str">
        <f t="shared" si="14"/>
        <v/>
      </c>
      <c r="AY59" s="540" t="str">
        <f>IFERROR(VLOOKUP(K59,【参考】数式用!$AR$5:$AS$39,2, FALSE), "")</f>
        <v/>
      </c>
      <c r="AZ59" s="557" t="str">
        <f t="shared" si="15"/>
        <v/>
      </c>
      <c r="BA59" s="560" t="str">
        <f t="shared" si="29"/>
        <v>入力済</v>
      </c>
      <c r="BB59" s="540" t="str">
        <f>IFERROR(VLOOKUP(K59,【参考】数式用!$AX$3:$AY$59, 2, FALSE), "")</f>
        <v/>
      </c>
      <c r="BC59" s="578" t="str">
        <f t="shared" si="16"/>
        <v/>
      </c>
      <c r="BD59" s="560" t="str">
        <f t="shared" si="30"/>
        <v>入力済</v>
      </c>
      <c r="BE59" s="577" t="str">
        <f t="shared" si="17"/>
        <v/>
      </c>
      <c r="BF59" s="560" t="str">
        <f t="shared" si="31"/>
        <v/>
      </c>
      <c r="BG59" s="597"/>
      <c r="BH59" s="593" t="str">
        <f t="shared" si="18"/>
        <v/>
      </c>
      <c r="BI59" s="616" t="str">
        <f>IF(BH59="Ⅱロ有り",ROUNDDOWN(L59*VLOOKUP(K59,【参考】数式用!$A$4:$J$42,10,FALSE)*AA59,0),"")</f>
        <v/>
      </c>
      <c r="BJ59" s="616" t="str">
        <f>IF(BH59="Ⅱロなし",ROUNDDOWN(L59*VLOOKUP(K59,【参考】数式用!$A$4:$J$42,8,FALSE)*AA59,0),"")</f>
        <v/>
      </c>
    </row>
    <row r="60" spans="1:62" ht="109.9" customHeight="1" thickBot="1">
      <c r="A60" s="303">
        <v>47</v>
      </c>
      <c r="B60" s="956" t="str">
        <f>IF(基本情報入力シート!B82="","",基本情報入力シート!B82)</f>
        <v/>
      </c>
      <c r="C60" s="957"/>
      <c r="D60" s="957"/>
      <c r="E60" s="957"/>
      <c r="F60" s="958"/>
      <c r="G60" s="304" t="str">
        <f>IF(基本情報入力シート!L82="", "", 基本情報入力シート!L82)</f>
        <v/>
      </c>
      <c r="H60" s="304" t="str">
        <f>IF(基本情報入力シート!Q82="", "", 基本情報入力シート!Q82)</f>
        <v/>
      </c>
      <c r="I60" s="304" t="str">
        <f>IF(基本情報入力シート!V82="", "", 基本情報入力シート!V82)</f>
        <v/>
      </c>
      <c r="J60" s="304" t="str">
        <f>IF(基本情報入力シート!W82="", "", 基本情報入力シート!W82)</f>
        <v/>
      </c>
      <c r="K60" s="304" t="str">
        <f>IF(基本情報入力シート!Z82="", "", 基本情報入力シート!Z82)</f>
        <v/>
      </c>
      <c r="L60" s="558" t="str">
        <f>IF(基本情報入力シート!AF82=0, "",基本情報入力シート!AF82)</f>
        <v/>
      </c>
      <c r="M60" s="588"/>
      <c r="N60" s="522" t="str">
        <f>IFERROR(VLOOKUP(K60,【参考】数式用!$A$2:$F$57,MATCH(M60,【参考】数式用!$C$3:$F$3,0)+2,0),"")</f>
        <v/>
      </c>
      <c r="O60" s="511"/>
      <c r="P60" s="555" t="str">
        <f>IFERROR(VLOOKUP(K60,【参考】数式用!$A$2:$F$57,MATCH(O60,【参考】数式用!$C$3:$F$3,0)+2,0),"")</f>
        <v/>
      </c>
      <c r="Q60" s="310" t="s">
        <v>118</v>
      </c>
      <c r="R60" s="308"/>
      <c r="S60" s="309" t="s">
        <v>183</v>
      </c>
      <c r="T60" s="308"/>
      <c r="U60" s="309" t="s">
        <v>184</v>
      </c>
      <c r="V60" s="308"/>
      <c r="W60" s="309" t="s">
        <v>183</v>
      </c>
      <c r="X60" s="308"/>
      <c r="Y60" s="309" t="s">
        <v>185</v>
      </c>
      <c r="Z60" s="309" t="s">
        <v>186</v>
      </c>
      <c r="AA60" s="309" t="str">
        <f t="shared" si="21"/>
        <v/>
      </c>
      <c r="AB60" s="305" t="s">
        <v>187</v>
      </c>
      <c r="AC60" s="306" t="str">
        <f t="shared" si="10"/>
        <v/>
      </c>
      <c r="AD60" s="515" t="str">
        <f t="shared" si="11"/>
        <v/>
      </c>
      <c r="AE60" s="307" t="str">
        <f>IFERROR(ROUNDDOWN(ROUNDDOWN(ROUND(L60*VLOOKUP(K60,【参考】数式用!$A$4:$F$57,MATCH("処遇改善加算Ⅳ",【参考】数式用!$C$3:$F$3,0)+2,0),0),0)*AA60*0.5,0), "")</f>
        <v/>
      </c>
      <c r="AF60" s="318"/>
      <c r="AG60" s="319"/>
      <c r="AH60" s="319"/>
      <c r="AI60" s="318"/>
      <c r="AJ60" s="320"/>
      <c r="AK60" s="326"/>
      <c r="AL60" s="324" t="str">
        <f t="shared" si="22"/>
        <v/>
      </c>
      <c r="AM60" s="325" t="str">
        <f t="shared" si="20"/>
        <v/>
      </c>
      <c r="AN60" s="255"/>
      <c r="AO60" s="557" t="str">
        <f>IFERROR(VLOOKUP(K60,【参考】数式用!$A$2:$N$57,14,FALSE),"")</f>
        <v/>
      </c>
      <c r="AP60" s="557" t="str">
        <f t="shared" si="23"/>
        <v/>
      </c>
      <c r="AQ60" s="561" t="str">
        <f t="shared" si="24"/>
        <v/>
      </c>
      <c r="AR60" s="540" t="str">
        <f t="shared" si="25"/>
        <v>入力済</v>
      </c>
      <c r="AS60" s="578" t="str">
        <f t="shared" si="12"/>
        <v/>
      </c>
      <c r="AT60" s="540" t="str">
        <f t="shared" si="26"/>
        <v>入力済</v>
      </c>
      <c r="AU60" s="540" t="str">
        <f t="shared" si="32"/>
        <v/>
      </c>
      <c r="AV60" s="540" t="str">
        <f t="shared" si="27"/>
        <v/>
      </c>
      <c r="AW60" s="557" t="str">
        <f t="shared" si="28"/>
        <v/>
      </c>
      <c r="AX60" s="578" t="str">
        <f t="shared" si="14"/>
        <v/>
      </c>
      <c r="AY60" s="540" t="str">
        <f>IFERROR(VLOOKUP(K60,【参考】数式用!$AR$5:$AS$39,2, FALSE), "")</f>
        <v/>
      </c>
      <c r="AZ60" s="557" t="str">
        <f t="shared" si="15"/>
        <v/>
      </c>
      <c r="BA60" s="560" t="str">
        <f t="shared" si="29"/>
        <v>入力済</v>
      </c>
      <c r="BB60" s="540" t="str">
        <f>IFERROR(VLOOKUP(K60,【参考】数式用!$AX$3:$AY$59, 2, FALSE), "")</f>
        <v/>
      </c>
      <c r="BC60" s="578" t="str">
        <f t="shared" si="16"/>
        <v/>
      </c>
      <c r="BD60" s="560" t="str">
        <f t="shared" si="30"/>
        <v>入力済</v>
      </c>
      <c r="BE60" s="577" t="str">
        <f t="shared" si="17"/>
        <v/>
      </c>
      <c r="BF60" s="560" t="str">
        <f t="shared" si="31"/>
        <v/>
      </c>
      <c r="BG60" s="597"/>
      <c r="BH60" s="593" t="str">
        <f t="shared" si="18"/>
        <v/>
      </c>
      <c r="BI60" s="616" t="str">
        <f>IF(BH60="Ⅱロ有り",ROUNDDOWN(L60*VLOOKUP(K60,【参考】数式用!$A$4:$J$42,10,FALSE)*AA60,0),"")</f>
        <v/>
      </c>
      <c r="BJ60" s="616" t="str">
        <f>IF(BH60="Ⅱロなし",ROUNDDOWN(L60*VLOOKUP(K60,【参考】数式用!$A$4:$J$42,8,FALSE)*AA60,0),"")</f>
        <v/>
      </c>
    </row>
    <row r="61" spans="1:62" ht="109.9" customHeight="1" thickBot="1">
      <c r="A61" s="303">
        <v>48</v>
      </c>
      <c r="B61" s="956" t="str">
        <f>IF(基本情報入力シート!B83="","",基本情報入力シート!B83)</f>
        <v/>
      </c>
      <c r="C61" s="957"/>
      <c r="D61" s="957"/>
      <c r="E61" s="957"/>
      <c r="F61" s="958"/>
      <c r="G61" s="304" t="str">
        <f>IF(基本情報入力シート!L83="", "", 基本情報入力シート!L83)</f>
        <v/>
      </c>
      <c r="H61" s="304" t="str">
        <f>IF(基本情報入力シート!Q83="", "", 基本情報入力シート!Q83)</f>
        <v/>
      </c>
      <c r="I61" s="304" t="str">
        <f>IF(基本情報入力シート!V83="", "", 基本情報入力シート!V83)</f>
        <v/>
      </c>
      <c r="J61" s="304" t="str">
        <f>IF(基本情報入力シート!W83="", "", 基本情報入力シート!W83)</f>
        <v/>
      </c>
      <c r="K61" s="304" t="str">
        <f>IF(基本情報入力シート!Z83="", "", 基本情報入力シート!Z83)</f>
        <v/>
      </c>
      <c r="L61" s="558" t="str">
        <f>IF(基本情報入力シート!AF83=0, "",基本情報入力シート!AF83)</f>
        <v/>
      </c>
      <c r="M61" s="588"/>
      <c r="N61" s="522" t="str">
        <f>IFERROR(VLOOKUP(K61,【参考】数式用!$A$2:$F$57,MATCH(M61,【参考】数式用!$C$3:$F$3,0)+2,0),"")</f>
        <v/>
      </c>
      <c r="O61" s="511"/>
      <c r="P61" s="555" t="str">
        <f>IFERROR(VLOOKUP(K61,【参考】数式用!$A$2:$F$57,MATCH(O61,【参考】数式用!$C$3:$F$3,0)+2,0),"")</f>
        <v/>
      </c>
      <c r="Q61" s="310" t="s">
        <v>118</v>
      </c>
      <c r="R61" s="308"/>
      <c r="S61" s="309" t="s">
        <v>183</v>
      </c>
      <c r="T61" s="308"/>
      <c r="U61" s="309" t="s">
        <v>184</v>
      </c>
      <c r="V61" s="308"/>
      <c r="W61" s="309" t="s">
        <v>183</v>
      </c>
      <c r="X61" s="308"/>
      <c r="Y61" s="309" t="s">
        <v>185</v>
      </c>
      <c r="Z61" s="309" t="s">
        <v>186</v>
      </c>
      <c r="AA61" s="309" t="str">
        <f t="shared" si="21"/>
        <v/>
      </c>
      <c r="AB61" s="305" t="s">
        <v>187</v>
      </c>
      <c r="AC61" s="306" t="str">
        <f t="shared" si="10"/>
        <v/>
      </c>
      <c r="AD61" s="515" t="str">
        <f t="shared" si="11"/>
        <v/>
      </c>
      <c r="AE61" s="307" t="str">
        <f>IFERROR(ROUNDDOWN(ROUNDDOWN(ROUND(L61*VLOOKUP(K61,【参考】数式用!$A$4:$F$57,MATCH("処遇改善加算Ⅳ",【参考】数式用!$C$3:$F$3,0)+2,0),0),0)*AA61*0.5,0), "")</f>
        <v/>
      </c>
      <c r="AF61" s="318"/>
      <c r="AG61" s="319"/>
      <c r="AH61" s="319"/>
      <c r="AI61" s="318"/>
      <c r="AJ61" s="320"/>
      <c r="AK61" s="326"/>
      <c r="AL61" s="324" t="str">
        <f t="shared" si="22"/>
        <v/>
      </c>
      <c r="AM61" s="325" t="str">
        <f t="shared" si="20"/>
        <v/>
      </c>
      <c r="AN61" s="255"/>
      <c r="AO61" s="557" t="str">
        <f>IFERROR(VLOOKUP(K61,【参考】数式用!$A$2:$N$57,14,FALSE),"")</f>
        <v/>
      </c>
      <c r="AP61" s="557" t="str">
        <f t="shared" si="23"/>
        <v/>
      </c>
      <c r="AQ61" s="561" t="str">
        <f t="shared" si="24"/>
        <v/>
      </c>
      <c r="AR61" s="540" t="str">
        <f t="shared" si="25"/>
        <v>入力済</v>
      </c>
      <c r="AS61" s="578" t="str">
        <f t="shared" si="12"/>
        <v/>
      </c>
      <c r="AT61" s="540" t="str">
        <f t="shared" si="26"/>
        <v>入力済</v>
      </c>
      <c r="AU61" s="540" t="str">
        <f t="shared" si="32"/>
        <v/>
      </c>
      <c r="AV61" s="540" t="str">
        <f t="shared" si="27"/>
        <v/>
      </c>
      <c r="AW61" s="557" t="str">
        <f t="shared" si="28"/>
        <v/>
      </c>
      <c r="AX61" s="578" t="str">
        <f t="shared" si="14"/>
        <v/>
      </c>
      <c r="AY61" s="540" t="str">
        <f>IFERROR(VLOOKUP(K61,【参考】数式用!$AR$5:$AS$39,2, FALSE), "")</f>
        <v/>
      </c>
      <c r="AZ61" s="557" t="str">
        <f t="shared" si="15"/>
        <v/>
      </c>
      <c r="BA61" s="560" t="str">
        <f t="shared" si="29"/>
        <v>入力済</v>
      </c>
      <c r="BB61" s="540" t="str">
        <f>IFERROR(VLOOKUP(K61,【参考】数式用!$AX$3:$AY$59, 2, FALSE), "")</f>
        <v/>
      </c>
      <c r="BC61" s="578" t="str">
        <f t="shared" si="16"/>
        <v/>
      </c>
      <c r="BD61" s="560" t="str">
        <f t="shared" si="30"/>
        <v>入力済</v>
      </c>
      <c r="BE61" s="577" t="str">
        <f t="shared" si="17"/>
        <v/>
      </c>
      <c r="BF61" s="560" t="str">
        <f t="shared" si="31"/>
        <v/>
      </c>
      <c r="BG61" s="597"/>
      <c r="BH61" s="593" t="str">
        <f t="shared" si="18"/>
        <v/>
      </c>
      <c r="BI61" s="616" t="str">
        <f>IF(BH61="Ⅱロ有り",ROUNDDOWN(L61*VLOOKUP(K61,【参考】数式用!$A$4:$J$42,10,FALSE)*AA61,0),"")</f>
        <v/>
      </c>
      <c r="BJ61" s="616" t="str">
        <f>IF(BH61="Ⅱロなし",ROUNDDOWN(L61*VLOOKUP(K61,【参考】数式用!$A$4:$J$42,8,FALSE)*AA61,0),"")</f>
        <v/>
      </c>
    </row>
    <row r="62" spans="1:62" ht="109.9" customHeight="1" thickBot="1">
      <c r="A62" s="303">
        <v>49</v>
      </c>
      <c r="B62" s="956" t="str">
        <f>IF(基本情報入力シート!B84="","",基本情報入力シート!B84)</f>
        <v/>
      </c>
      <c r="C62" s="957"/>
      <c r="D62" s="957"/>
      <c r="E62" s="957"/>
      <c r="F62" s="958"/>
      <c r="G62" s="304" t="str">
        <f>IF(基本情報入力シート!L84="", "", 基本情報入力シート!L84)</f>
        <v/>
      </c>
      <c r="H62" s="304" t="str">
        <f>IF(基本情報入力シート!Q84="", "", 基本情報入力シート!Q84)</f>
        <v/>
      </c>
      <c r="I62" s="304" t="str">
        <f>IF(基本情報入力シート!V84="", "", 基本情報入力シート!V84)</f>
        <v/>
      </c>
      <c r="J62" s="304" t="str">
        <f>IF(基本情報入力シート!W84="", "", 基本情報入力シート!W84)</f>
        <v/>
      </c>
      <c r="K62" s="304" t="str">
        <f>IF(基本情報入力シート!Z84="", "", 基本情報入力シート!Z84)</f>
        <v/>
      </c>
      <c r="L62" s="558" t="str">
        <f>IF(基本情報入力シート!AF84=0, "",基本情報入力シート!AF84)</f>
        <v/>
      </c>
      <c r="M62" s="588"/>
      <c r="N62" s="522" t="str">
        <f>IFERROR(VLOOKUP(K62,【参考】数式用!$A$2:$F$57,MATCH(M62,【参考】数式用!$C$3:$F$3,0)+2,0),"")</f>
        <v/>
      </c>
      <c r="O62" s="511"/>
      <c r="P62" s="555" t="str">
        <f>IFERROR(VLOOKUP(K62,【参考】数式用!$A$2:$F$57,MATCH(O62,【参考】数式用!$C$3:$F$3,0)+2,0),"")</f>
        <v/>
      </c>
      <c r="Q62" s="310" t="s">
        <v>118</v>
      </c>
      <c r="R62" s="308"/>
      <c r="S62" s="309" t="s">
        <v>183</v>
      </c>
      <c r="T62" s="308"/>
      <c r="U62" s="309" t="s">
        <v>184</v>
      </c>
      <c r="V62" s="308"/>
      <c r="W62" s="309" t="s">
        <v>183</v>
      </c>
      <c r="X62" s="308"/>
      <c r="Y62" s="309" t="s">
        <v>185</v>
      </c>
      <c r="Z62" s="309" t="s">
        <v>186</v>
      </c>
      <c r="AA62" s="309" t="str">
        <f t="shared" si="21"/>
        <v/>
      </c>
      <c r="AB62" s="305" t="s">
        <v>187</v>
      </c>
      <c r="AC62" s="306" t="str">
        <f t="shared" si="10"/>
        <v/>
      </c>
      <c r="AD62" s="515" t="str">
        <f t="shared" si="11"/>
        <v/>
      </c>
      <c r="AE62" s="307" t="str">
        <f>IFERROR(ROUNDDOWN(ROUNDDOWN(ROUND(L62*VLOOKUP(K62,【参考】数式用!$A$4:$F$57,MATCH("処遇改善加算Ⅳ",【参考】数式用!$C$3:$F$3,0)+2,0),0),0)*AA62*0.5,0), "")</f>
        <v/>
      </c>
      <c r="AF62" s="318"/>
      <c r="AG62" s="319"/>
      <c r="AH62" s="319"/>
      <c r="AI62" s="318"/>
      <c r="AJ62" s="320"/>
      <c r="AK62" s="326"/>
      <c r="AL62" s="324" t="str">
        <f t="shared" si="22"/>
        <v/>
      </c>
      <c r="AM62" s="325" t="str">
        <f t="shared" si="20"/>
        <v/>
      </c>
      <c r="AN62" s="255"/>
      <c r="AO62" s="557" t="str">
        <f>IFERROR(VLOOKUP(K62,【参考】数式用!$A$2:$N$57,14,FALSE),"")</f>
        <v/>
      </c>
      <c r="AP62" s="557" t="str">
        <f t="shared" si="23"/>
        <v/>
      </c>
      <c r="AQ62" s="561" t="str">
        <f t="shared" si="24"/>
        <v/>
      </c>
      <c r="AR62" s="540" t="str">
        <f t="shared" si="25"/>
        <v>入力済</v>
      </c>
      <c r="AS62" s="578" t="str">
        <f t="shared" si="12"/>
        <v/>
      </c>
      <c r="AT62" s="540" t="str">
        <f t="shared" si="26"/>
        <v>入力済</v>
      </c>
      <c r="AU62" s="540" t="str">
        <f t="shared" si="32"/>
        <v/>
      </c>
      <c r="AV62" s="540" t="str">
        <f t="shared" si="27"/>
        <v/>
      </c>
      <c r="AW62" s="557" t="str">
        <f t="shared" si="28"/>
        <v/>
      </c>
      <c r="AX62" s="578" t="str">
        <f t="shared" si="14"/>
        <v/>
      </c>
      <c r="AY62" s="540" t="str">
        <f>IFERROR(VLOOKUP(K62,【参考】数式用!$AR$5:$AS$39,2, FALSE), "")</f>
        <v/>
      </c>
      <c r="AZ62" s="557" t="str">
        <f t="shared" si="15"/>
        <v/>
      </c>
      <c r="BA62" s="560" t="str">
        <f t="shared" si="29"/>
        <v>入力済</v>
      </c>
      <c r="BB62" s="540" t="str">
        <f>IFERROR(VLOOKUP(K62,【参考】数式用!$AX$3:$AY$59, 2, FALSE), "")</f>
        <v/>
      </c>
      <c r="BC62" s="578" t="str">
        <f t="shared" si="16"/>
        <v/>
      </c>
      <c r="BD62" s="560" t="str">
        <f t="shared" si="30"/>
        <v>入力済</v>
      </c>
      <c r="BE62" s="577" t="str">
        <f t="shared" si="17"/>
        <v/>
      </c>
      <c r="BF62" s="560" t="str">
        <f t="shared" si="31"/>
        <v/>
      </c>
      <c r="BG62" s="597"/>
      <c r="BH62" s="593" t="str">
        <f t="shared" si="18"/>
        <v/>
      </c>
      <c r="BI62" s="616" t="str">
        <f>IF(BH62="Ⅱロ有り",ROUNDDOWN(L62*VLOOKUP(K62,【参考】数式用!$A$4:$J$42,10,FALSE)*AA62,0),"")</f>
        <v/>
      </c>
      <c r="BJ62" s="616" t="str">
        <f>IF(BH62="Ⅱロなし",ROUNDDOWN(L62*VLOOKUP(K62,【参考】数式用!$A$4:$J$42,8,FALSE)*AA62,0),"")</f>
        <v/>
      </c>
    </row>
    <row r="63" spans="1:62" ht="109.9" customHeight="1" thickBot="1">
      <c r="A63" s="303">
        <v>50</v>
      </c>
      <c r="B63" s="956" t="str">
        <f>IF(基本情報入力シート!B85="","",基本情報入力シート!B85)</f>
        <v/>
      </c>
      <c r="C63" s="957"/>
      <c r="D63" s="957"/>
      <c r="E63" s="957"/>
      <c r="F63" s="958"/>
      <c r="G63" s="304" t="str">
        <f>IF(基本情報入力シート!L85="", "", 基本情報入力シート!L85)</f>
        <v/>
      </c>
      <c r="H63" s="304" t="str">
        <f>IF(基本情報入力シート!Q85="", "", 基本情報入力シート!Q85)</f>
        <v/>
      </c>
      <c r="I63" s="304" t="str">
        <f>IF(基本情報入力シート!V85="", "", 基本情報入力シート!V85)</f>
        <v/>
      </c>
      <c r="J63" s="304" t="str">
        <f>IF(基本情報入力シート!W85="", "", 基本情報入力シート!W85)</f>
        <v/>
      </c>
      <c r="K63" s="304" t="str">
        <f>IF(基本情報入力シート!Z85="", "", 基本情報入力シート!Z85)</f>
        <v/>
      </c>
      <c r="L63" s="558" t="str">
        <f>IF(基本情報入力シート!AF85=0, "",基本情報入力シート!AF85)</f>
        <v/>
      </c>
      <c r="M63" s="588"/>
      <c r="N63" s="522" t="str">
        <f>IFERROR(VLOOKUP(K63,【参考】数式用!$A$2:$F$57,MATCH(M63,【参考】数式用!$C$3:$F$3,0)+2,0),"")</f>
        <v/>
      </c>
      <c r="O63" s="511"/>
      <c r="P63" s="555" t="str">
        <f>IFERROR(VLOOKUP(K63,【参考】数式用!$A$2:$F$57,MATCH(O63,【参考】数式用!$C$3:$F$3,0)+2,0),"")</f>
        <v/>
      </c>
      <c r="Q63" s="310" t="s">
        <v>118</v>
      </c>
      <c r="R63" s="308"/>
      <c r="S63" s="309" t="s">
        <v>183</v>
      </c>
      <c r="T63" s="308"/>
      <c r="U63" s="309" t="s">
        <v>184</v>
      </c>
      <c r="V63" s="308"/>
      <c r="W63" s="309" t="s">
        <v>183</v>
      </c>
      <c r="X63" s="308"/>
      <c r="Y63" s="309" t="s">
        <v>185</v>
      </c>
      <c r="Z63" s="309" t="s">
        <v>186</v>
      </c>
      <c r="AA63" s="309" t="str">
        <f t="shared" si="21"/>
        <v/>
      </c>
      <c r="AB63" s="305" t="s">
        <v>187</v>
      </c>
      <c r="AC63" s="306" t="str">
        <f t="shared" si="10"/>
        <v/>
      </c>
      <c r="AD63" s="515" t="str">
        <f t="shared" si="11"/>
        <v/>
      </c>
      <c r="AE63" s="307" t="str">
        <f>IFERROR(ROUNDDOWN(ROUNDDOWN(ROUND(L63*VLOOKUP(K63,【参考】数式用!$A$4:$F$57,MATCH("処遇改善加算Ⅳ",【参考】数式用!$C$3:$F$3,0)+2,0),0),0)*AA63*0.5,0), "")</f>
        <v/>
      </c>
      <c r="AF63" s="318"/>
      <c r="AG63" s="319"/>
      <c r="AH63" s="319"/>
      <c r="AI63" s="318"/>
      <c r="AJ63" s="320"/>
      <c r="AK63" s="326"/>
      <c r="AL63" s="324" t="str">
        <f t="shared" si="22"/>
        <v/>
      </c>
      <c r="AM63" s="325" t="str">
        <f t="shared" si="20"/>
        <v/>
      </c>
      <c r="AN63" s="255"/>
      <c r="AO63" s="557" t="str">
        <f>IFERROR(VLOOKUP(K63,【参考】数式用!$A$2:$N$57,14,FALSE),"")</f>
        <v/>
      </c>
      <c r="AP63" s="557" t="str">
        <f t="shared" si="23"/>
        <v/>
      </c>
      <c r="AQ63" s="561" t="str">
        <f t="shared" si="24"/>
        <v/>
      </c>
      <c r="AR63" s="540" t="str">
        <f t="shared" si="25"/>
        <v>入力済</v>
      </c>
      <c r="AS63" s="578" t="str">
        <f t="shared" si="12"/>
        <v/>
      </c>
      <c r="AT63" s="540" t="str">
        <f t="shared" si="26"/>
        <v>入力済</v>
      </c>
      <c r="AU63" s="540" t="str">
        <f t="shared" si="32"/>
        <v/>
      </c>
      <c r="AV63" s="540" t="str">
        <f t="shared" si="27"/>
        <v/>
      </c>
      <c r="AW63" s="557" t="str">
        <f t="shared" si="28"/>
        <v/>
      </c>
      <c r="AX63" s="578" t="str">
        <f t="shared" si="14"/>
        <v/>
      </c>
      <c r="AY63" s="540" t="str">
        <f>IFERROR(VLOOKUP(K63,【参考】数式用!$AR$5:$AS$39,2, FALSE), "")</f>
        <v/>
      </c>
      <c r="AZ63" s="557" t="str">
        <f t="shared" si="15"/>
        <v/>
      </c>
      <c r="BA63" s="560" t="str">
        <f t="shared" si="29"/>
        <v>入力済</v>
      </c>
      <c r="BB63" s="540" t="str">
        <f>IFERROR(VLOOKUP(K63,【参考】数式用!$AX$3:$AY$59, 2, FALSE), "")</f>
        <v/>
      </c>
      <c r="BC63" s="578" t="str">
        <f t="shared" si="16"/>
        <v/>
      </c>
      <c r="BD63" s="560" t="str">
        <f t="shared" si="30"/>
        <v>入力済</v>
      </c>
      <c r="BE63" s="577" t="str">
        <f t="shared" si="17"/>
        <v/>
      </c>
      <c r="BF63" s="560" t="str">
        <f t="shared" si="31"/>
        <v/>
      </c>
      <c r="BG63" s="597"/>
      <c r="BH63" s="593" t="str">
        <f t="shared" si="18"/>
        <v/>
      </c>
      <c r="BI63" s="616" t="str">
        <f>IF(BH63="Ⅱロ有り",ROUNDDOWN(L63*VLOOKUP(K63,【参考】数式用!$A$4:$J$42,10,FALSE)*AA63,0),"")</f>
        <v/>
      </c>
      <c r="BJ63" s="616" t="str">
        <f>IF(BH63="Ⅱロなし",ROUNDDOWN(L63*VLOOKUP(K63,【参考】数式用!$A$4:$J$42,8,FALSE)*AA63,0),"")</f>
        <v/>
      </c>
    </row>
    <row r="64" spans="1:62" ht="109.9" customHeight="1" thickBot="1">
      <c r="A64" s="303">
        <v>51</v>
      </c>
      <c r="B64" s="956" t="str">
        <f>IF(基本情報入力シート!B86="","",基本情報入力シート!B86)</f>
        <v/>
      </c>
      <c r="C64" s="957"/>
      <c r="D64" s="957"/>
      <c r="E64" s="957"/>
      <c r="F64" s="958"/>
      <c r="G64" s="304" t="str">
        <f>IF(基本情報入力シート!L86="", "", 基本情報入力シート!L86)</f>
        <v/>
      </c>
      <c r="H64" s="304" t="str">
        <f>IF(基本情報入力シート!Q86="", "", 基本情報入力シート!Q86)</f>
        <v/>
      </c>
      <c r="I64" s="304" t="str">
        <f>IF(基本情報入力シート!V86="", "", 基本情報入力シート!V86)</f>
        <v/>
      </c>
      <c r="J64" s="304" t="str">
        <f>IF(基本情報入力シート!W86="", "", 基本情報入力シート!W86)</f>
        <v/>
      </c>
      <c r="K64" s="304" t="str">
        <f>IF(基本情報入力シート!Z86="", "", 基本情報入力シート!Z86)</f>
        <v/>
      </c>
      <c r="L64" s="558" t="str">
        <f>IF(基本情報入力シート!AF86=0, "",基本情報入力シート!AF86)</f>
        <v/>
      </c>
      <c r="M64" s="588"/>
      <c r="N64" s="522" t="str">
        <f>IFERROR(VLOOKUP(K64,【参考】数式用!$A$2:$F$57,MATCH(M64,【参考】数式用!$C$3:$F$3,0)+2,0),"")</f>
        <v/>
      </c>
      <c r="O64" s="511"/>
      <c r="P64" s="555" t="str">
        <f>IFERROR(VLOOKUP(K64,【参考】数式用!$A$2:$F$57,MATCH(O64,【参考】数式用!$C$3:$F$3,0)+2,0),"")</f>
        <v/>
      </c>
      <c r="Q64" s="310" t="s">
        <v>118</v>
      </c>
      <c r="R64" s="308"/>
      <c r="S64" s="309" t="s">
        <v>183</v>
      </c>
      <c r="T64" s="308"/>
      <c r="U64" s="309" t="s">
        <v>184</v>
      </c>
      <c r="V64" s="308"/>
      <c r="W64" s="309" t="s">
        <v>183</v>
      </c>
      <c r="X64" s="308"/>
      <c r="Y64" s="309" t="s">
        <v>185</v>
      </c>
      <c r="Z64" s="309" t="s">
        <v>186</v>
      </c>
      <c r="AA64" s="309" t="str">
        <f t="shared" si="21"/>
        <v/>
      </c>
      <c r="AB64" s="305" t="s">
        <v>187</v>
      </c>
      <c r="AC64" s="306" t="str">
        <f t="shared" si="10"/>
        <v/>
      </c>
      <c r="AD64" s="515" t="str">
        <f t="shared" si="11"/>
        <v/>
      </c>
      <c r="AE64" s="307" t="str">
        <f>IFERROR(ROUNDDOWN(ROUNDDOWN(ROUND(L64*VLOOKUP(K64,【参考】数式用!$A$4:$F$57,MATCH("処遇改善加算Ⅳ",【参考】数式用!$C$3:$F$3,0)+2,0),0),0)*AA64*0.5,0), "")</f>
        <v/>
      </c>
      <c r="AF64" s="318"/>
      <c r="AG64" s="319"/>
      <c r="AH64" s="319"/>
      <c r="AI64" s="318"/>
      <c r="AJ64" s="320"/>
      <c r="AK64" s="326"/>
      <c r="AL64" s="324" t="str">
        <f t="shared" si="22"/>
        <v/>
      </c>
      <c r="AM64" s="325" t="str">
        <f t="shared" si="20"/>
        <v/>
      </c>
      <c r="AN64" s="255"/>
      <c r="AO64" s="557" t="str">
        <f>IFERROR(VLOOKUP(K64,【参考】数式用!$A$2:$N$57,14,FALSE),"")</f>
        <v/>
      </c>
      <c r="AP64" s="557" t="str">
        <f t="shared" si="23"/>
        <v/>
      </c>
      <c r="AQ64" s="561" t="str">
        <f t="shared" si="24"/>
        <v/>
      </c>
      <c r="AR64" s="540" t="str">
        <f t="shared" si="25"/>
        <v>入力済</v>
      </c>
      <c r="AS64" s="578" t="str">
        <f t="shared" si="12"/>
        <v/>
      </c>
      <c r="AT64" s="540" t="str">
        <f t="shared" si="26"/>
        <v>入力済</v>
      </c>
      <c r="AU64" s="540" t="str">
        <f t="shared" si="32"/>
        <v/>
      </c>
      <c r="AV64" s="540" t="str">
        <f t="shared" si="27"/>
        <v/>
      </c>
      <c r="AW64" s="557" t="str">
        <f t="shared" si="28"/>
        <v/>
      </c>
      <c r="AX64" s="578" t="str">
        <f t="shared" si="14"/>
        <v/>
      </c>
      <c r="AY64" s="540" t="str">
        <f>IFERROR(VLOOKUP(K64,【参考】数式用!$AR$5:$AS$39,2, FALSE), "")</f>
        <v/>
      </c>
      <c r="AZ64" s="557" t="str">
        <f t="shared" si="15"/>
        <v/>
      </c>
      <c r="BA64" s="560" t="str">
        <f t="shared" si="29"/>
        <v>入力済</v>
      </c>
      <c r="BB64" s="540" t="str">
        <f>IFERROR(VLOOKUP(K64,【参考】数式用!$AX$3:$AY$59, 2, FALSE), "")</f>
        <v/>
      </c>
      <c r="BC64" s="578" t="str">
        <f t="shared" si="16"/>
        <v/>
      </c>
      <c r="BD64" s="560" t="str">
        <f t="shared" si="30"/>
        <v>入力済</v>
      </c>
      <c r="BE64" s="577" t="str">
        <f t="shared" si="17"/>
        <v/>
      </c>
      <c r="BF64" s="560" t="str">
        <f t="shared" si="31"/>
        <v/>
      </c>
      <c r="BG64" s="597"/>
      <c r="BH64" s="593" t="str">
        <f t="shared" si="18"/>
        <v/>
      </c>
      <c r="BI64" s="616" t="str">
        <f>IF(BH64="Ⅱロ有り",ROUNDDOWN(L64*VLOOKUP(K64,【参考】数式用!$A$4:$J$42,10,FALSE)*AA64,0),"")</f>
        <v/>
      </c>
      <c r="BJ64" s="616" t="str">
        <f>IF(BH64="Ⅱロなし",ROUNDDOWN(L64*VLOOKUP(K64,【参考】数式用!$A$4:$J$42,8,FALSE)*AA64,0),"")</f>
        <v/>
      </c>
    </row>
    <row r="65" spans="1:62" ht="109.9" customHeight="1" thickBot="1">
      <c r="A65" s="303">
        <v>52</v>
      </c>
      <c r="B65" s="956" t="str">
        <f>IF(基本情報入力シート!B87="","",基本情報入力シート!B87)</f>
        <v/>
      </c>
      <c r="C65" s="957"/>
      <c r="D65" s="957"/>
      <c r="E65" s="957"/>
      <c r="F65" s="958"/>
      <c r="G65" s="304" t="str">
        <f>IF(基本情報入力シート!L87="", "", 基本情報入力シート!L87)</f>
        <v/>
      </c>
      <c r="H65" s="304" t="str">
        <f>IF(基本情報入力シート!Q87="", "", 基本情報入力シート!Q87)</f>
        <v/>
      </c>
      <c r="I65" s="304" t="str">
        <f>IF(基本情報入力シート!V87="", "", 基本情報入力シート!V87)</f>
        <v/>
      </c>
      <c r="J65" s="304" t="str">
        <f>IF(基本情報入力シート!W87="", "", 基本情報入力シート!W87)</f>
        <v/>
      </c>
      <c r="K65" s="304" t="str">
        <f>IF(基本情報入力シート!Z87="", "", 基本情報入力シート!Z87)</f>
        <v/>
      </c>
      <c r="L65" s="558" t="str">
        <f>IF(基本情報入力シート!AF87=0, "",基本情報入力シート!AF87)</f>
        <v/>
      </c>
      <c r="M65" s="588"/>
      <c r="N65" s="522" t="str">
        <f>IFERROR(VLOOKUP(K65,【参考】数式用!$A$2:$F$57,MATCH(M65,【参考】数式用!$C$3:$F$3,0)+2,0),"")</f>
        <v/>
      </c>
      <c r="O65" s="511"/>
      <c r="P65" s="555" t="str">
        <f>IFERROR(VLOOKUP(K65,【参考】数式用!$A$2:$F$57,MATCH(O65,【参考】数式用!$C$3:$F$3,0)+2,0),"")</f>
        <v/>
      </c>
      <c r="Q65" s="310" t="s">
        <v>118</v>
      </c>
      <c r="R65" s="308"/>
      <c r="S65" s="309" t="s">
        <v>183</v>
      </c>
      <c r="T65" s="308"/>
      <c r="U65" s="309" t="s">
        <v>184</v>
      </c>
      <c r="V65" s="308"/>
      <c r="W65" s="309" t="s">
        <v>183</v>
      </c>
      <c r="X65" s="308"/>
      <c r="Y65" s="309" t="s">
        <v>185</v>
      </c>
      <c r="Z65" s="309" t="s">
        <v>186</v>
      </c>
      <c r="AA65" s="309" t="str">
        <f t="shared" si="21"/>
        <v/>
      </c>
      <c r="AB65" s="305" t="s">
        <v>187</v>
      </c>
      <c r="AC65" s="306" t="str">
        <f t="shared" si="10"/>
        <v/>
      </c>
      <c r="AD65" s="515" t="str">
        <f t="shared" si="11"/>
        <v/>
      </c>
      <c r="AE65" s="307" t="str">
        <f>IFERROR(ROUNDDOWN(ROUNDDOWN(ROUND(L65*VLOOKUP(K65,【参考】数式用!$A$4:$F$57,MATCH("処遇改善加算Ⅳ",【参考】数式用!$C$3:$F$3,0)+2,0),0),0)*AA65*0.5,0), "")</f>
        <v/>
      </c>
      <c r="AF65" s="318"/>
      <c r="AG65" s="319"/>
      <c r="AH65" s="319"/>
      <c r="AI65" s="318"/>
      <c r="AJ65" s="320"/>
      <c r="AK65" s="326"/>
      <c r="AL65" s="324" t="str">
        <f t="shared" si="22"/>
        <v/>
      </c>
      <c r="AM65" s="325" t="str">
        <f t="shared" si="20"/>
        <v/>
      </c>
      <c r="AN65" s="255"/>
      <c r="AO65" s="557" t="str">
        <f>IFERROR(VLOOKUP(K65,【参考】数式用!$A$2:$N$57,14,FALSE),"")</f>
        <v/>
      </c>
      <c r="AP65" s="557" t="str">
        <f t="shared" si="23"/>
        <v/>
      </c>
      <c r="AQ65" s="561" t="str">
        <f t="shared" si="24"/>
        <v/>
      </c>
      <c r="AR65" s="540" t="str">
        <f t="shared" si="25"/>
        <v>入力済</v>
      </c>
      <c r="AS65" s="578" t="str">
        <f t="shared" si="12"/>
        <v/>
      </c>
      <c r="AT65" s="540" t="str">
        <f t="shared" si="26"/>
        <v>入力済</v>
      </c>
      <c r="AU65" s="540" t="str">
        <f t="shared" si="32"/>
        <v/>
      </c>
      <c r="AV65" s="540" t="str">
        <f t="shared" si="27"/>
        <v/>
      </c>
      <c r="AW65" s="557" t="str">
        <f t="shared" si="28"/>
        <v/>
      </c>
      <c r="AX65" s="578" t="str">
        <f t="shared" si="14"/>
        <v/>
      </c>
      <c r="AY65" s="540" t="str">
        <f>IFERROR(VLOOKUP(K65,【参考】数式用!$AR$5:$AS$39,2, FALSE), "")</f>
        <v/>
      </c>
      <c r="AZ65" s="557" t="str">
        <f t="shared" si="15"/>
        <v/>
      </c>
      <c r="BA65" s="560" t="str">
        <f t="shared" si="29"/>
        <v>入力済</v>
      </c>
      <c r="BB65" s="540" t="str">
        <f>IFERROR(VLOOKUP(K65,【参考】数式用!$AX$3:$AY$59, 2, FALSE), "")</f>
        <v/>
      </c>
      <c r="BC65" s="578" t="str">
        <f t="shared" si="16"/>
        <v/>
      </c>
      <c r="BD65" s="560" t="str">
        <f t="shared" si="30"/>
        <v>入力済</v>
      </c>
      <c r="BE65" s="577" t="str">
        <f t="shared" si="17"/>
        <v/>
      </c>
      <c r="BF65" s="560" t="str">
        <f t="shared" si="31"/>
        <v/>
      </c>
      <c r="BG65" s="597"/>
      <c r="BH65" s="593" t="str">
        <f t="shared" si="18"/>
        <v/>
      </c>
      <c r="BI65" s="616" t="str">
        <f>IF(BH65="Ⅱロ有り",ROUNDDOWN(L65*VLOOKUP(K65,【参考】数式用!$A$4:$J$42,10,FALSE)*AA65,0),"")</f>
        <v/>
      </c>
      <c r="BJ65" s="616" t="str">
        <f>IF(BH65="Ⅱロなし",ROUNDDOWN(L65*VLOOKUP(K65,【参考】数式用!$A$4:$J$42,8,FALSE)*AA65,0),"")</f>
        <v/>
      </c>
    </row>
    <row r="66" spans="1:62" ht="109.9" customHeight="1" thickBot="1">
      <c r="A66" s="303">
        <v>53</v>
      </c>
      <c r="B66" s="956" t="str">
        <f>IF(基本情報入力シート!B88="","",基本情報入力シート!B88)</f>
        <v/>
      </c>
      <c r="C66" s="957"/>
      <c r="D66" s="957"/>
      <c r="E66" s="957"/>
      <c r="F66" s="958"/>
      <c r="G66" s="304" t="str">
        <f>IF(基本情報入力シート!L88="", "", 基本情報入力シート!L88)</f>
        <v/>
      </c>
      <c r="H66" s="304" t="str">
        <f>IF(基本情報入力シート!Q88="", "", 基本情報入力シート!Q88)</f>
        <v/>
      </c>
      <c r="I66" s="304" t="str">
        <f>IF(基本情報入力シート!V88="", "", 基本情報入力シート!V88)</f>
        <v/>
      </c>
      <c r="J66" s="304" t="str">
        <f>IF(基本情報入力シート!W88="", "", 基本情報入力シート!W88)</f>
        <v/>
      </c>
      <c r="K66" s="304" t="str">
        <f>IF(基本情報入力シート!Z88="", "", 基本情報入力シート!Z88)</f>
        <v/>
      </c>
      <c r="L66" s="558" t="str">
        <f>IF(基本情報入力シート!AF88=0, "",基本情報入力シート!AF88)</f>
        <v/>
      </c>
      <c r="M66" s="588"/>
      <c r="N66" s="522" t="str">
        <f>IFERROR(VLOOKUP(K66,【参考】数式用!$A$2:$F$57,MATCH(M66,【参考】数式用!$C$3:$F$3,0)+2,0),"")</f>
        <v/>
      </c>
      <c r="O66" s="511"/>
      <c r="P66" s="555" t="str">
        <f>IFERROR(VLOOKUP(K66,【参考】数式用!$A$2:$F$57,MATCH(O66,【参考】数式用!$C$3:$F$3,0)+2,0),"")</f>
        <v/>
      </c>
      <c r="Q66" s="310" t="s">
        <v>118</v>
      </c>
      <c r="R66" s="308"/>
      <c r="S66" s="309" t="s">
        <v>183</v>
      </c>
      <c r="T66" s="308"/>
      <c r="U66" s="309" t="s">
        <v>184</v>
      </c>
      <c r="V66" s="308"/>
      <c r="W66" s="309" t="s">
        <v>183</v>
      </c>
      <c r="X66" s="308"/>
      <c r="Y66" s="309" t="s">
        <v>185</v>
      </c>
      <c r="Z66" s="309" t="s">
        <v>186</v>
      </c>
      <c r="AA66" s="309" t="str">
        <f t="shared" si="21"/>
        <v/>
      </c>
      <c r="AB66" s="305" t="s">
        <v>187</v>
      </c>
      <c r="AC66" s="306" t="str">
        <f t="shared" si="10"/>
        <v/>
      </c>
      <c r="AD66" s="515" t="str">
        <f t="shared" si="11"/>
        <v/>
      </c>
      <c r="AE66" s="307" t="str">
        <f>IFERROR(ROUNDDOWN(ROUNDDOWN(ROUND(L66*VLOOKUP(K66,【参考】数式用!$A$4:$F$57,MATCH("処遇改善加算Ⅳ",【参考】数式用!$C$3:$F$3,0)+2,0),0),0)*AA66*0.5,0), "")</f>
        <v/>
      </c>
      <c r="AF66" s="318"/>
      <c r="AG66" s="319"/>
      <c r="AH66" s="319"/>
      <c r="AI66" s="318"/>
      <c r="AJ66" s="320"/>
      <c r="AK66" s="326"/>
      <c r="AL66" s="324" t="str">
        <f t="shared" si="22"/>
        <v/>
      </c>
      <c r="AM66" s="325" t="str">
        <f t="shared" si="20"/>
        <v/>
      </c>
      <c r="AN66" s="255"/>
      <c r="AO66" s="557" t="str">
        <f>IFERROR(VLOOKUP(K66,【参考】数式用!$A$2:$N$57,14,FALSE),"")</f>
        <v/>
      </c>
      <c r="AP66" s="557" t="str">
        <f t="shared" si="23"/>
        <v/>
      </c>
      <c r="AQ66" s="561" t="str">
        <f t="shared" si="24"/>
        <v/>
      </c>
      <c r="AR66" s="540" t="str">
        <f t="shared" si="25"/>
        <v>入力済</v>
      </c>
      <c r="AS66" s="578" t="str">
        <f t="shared" si="12"/>
        <v/>
      </c>
      <c r="AT66" s="540" t="str">
        <f t="shared" si="26"/>
        <v>入力済</v>
      </c>
      <c r="AU66" s="540" t="str">
        <f t="shared" si="32"/>
        <v/>
      </c>
      <c r="AV66" s="540" t="str">
        <f t="shared" si="27"/>
        <v/>
      </c>
      <c r="AW66" s="557" t="str">
        <f t="shared" si="28"/>
        <v/>
      </c>
      <c r="AX66" s="578" t="str">
        <f t="shared" si="14"/>
        <v/>
      </c>
      <c r="AY66" s="540" t="str">
        <f>IFERROR(VLOOKUP(K66,【参考】数式用!$AR$5:$AS$39,2, FALSE), "")</f>
        <v/>
      </c>
      <c r="AZ66" s="557" t="str">
        <f t="shared" si="15"/>
        <v/>
      </c>
      <c r="BA66" s="560" t="str">
        <f t="shared" si="29"/>
        <v>入力済</v>
      </c>
      <c r="BB66" s="540" t="str">
        <f>IFERROR(VLOOKUP(K66,【参考】数式用!$AX$3:$AY$59, 2, FALSE), "")</f>
        <v/>
      </c>
      <c r="BC66" s="578" t="str">
        <f t="shared" si="16"/>
        <v/>
      </c>
      <c r="BD66" s="560" t="str">
        <f t="shared" si="30"/>
        <v>入力済</v>
      </c>
      <c r="BE66" s="577" t="str">
        <f t="shared" si="17"/>
        <v/>
      </c>
      <c r="BF66" s="560" t="str">
        <f t="shared" si="31"/>
        <v/>
      </c>
      <c r="BG66" s="597"/>
      <c r="BH66" s="593" t="str">
        <f t="shared" si="18"/>
        <v/>
      </c>
      <c r="BI66" s="616" t="str">
        <f>IF(BH66="Ⅱロ有り",ROUNDDOWN(L66*VLOOKUP(K66,【参考】数式用!$A$4:$J$42,10,FALSE)*AA66,0),"")</f>
        <v/>
      </c>
      <c r="BJ66" s="616" t="str">
        <f>IF(BH66="Ⅱロなし",ROUNDDOWN(L66*VLOOKUP(K66,【参考】数式用!$A$4:$J$42,8,FALSE)*AA66,0),"")</f>
        <v/>
      </c>
    </row>
    <row r="67" spans="1:62" ht="109.9" customHeight="1" thickBot="1">
      <c r="A67" s="303">
        <v>54</v>
      </c>
      <c r="B67" s="956" t="str">
        <f>IF(基本情報入力シート!B89="","",基本情報入力シート!B89)</f>
        <v/>
      </c>
      <c r="C67" s="957"/>
      <c r="D67" s="957"/>
      <c r="E67" s="957"/>
      <c r="F67" s="958"/>
      <c r="G67" s="304" t="str">
        <f>IF(基本情報入力シート!L89="", "", 基本情報入力シート!L89)</f>
        <v/>
      </c>
      <c r="H67" s="304" t="str">
        <f>IF(基本情報入力シート!Q89="", "", 基本情報入力シート!Q89)</f>
        <v/>
      </c>
      <c r="I67" s="304" t="str">
        <f>IF(基本情報入力シート!V89="", "", 基本情報入力シート!V89)</f>
        <v/>
      </c>
      <c r="J67" s="304" t="str">
        <f>IF(基本情報入力シート!W89="", "", 基本情報入力シート!W89)</f>
        <v/>
      </c>
      <c r="K67" s="304" t="str">
        <f>IF(基本情報入力シート!Z89="", "", 基本情報入力シート!Z89)</f>
        <v/>
      </c>
      <c r="L67" s="558" t="str">
        <f>IF(基本情報入力シート!AF89=0, "",基本情報入力シート!AF89)</f>
        <v/>
      </c>
      <c r="M67" s="588"/>
      <c r="N67" s="522" t="str">
        <f>IFERROR(VLOOKUP(K67,【参考】数式用!$A$2:$F$57,MATCH(M67,【参考】数式用!$C$3:$F$3,0)+2,0),"")</f>
        <v/>
      </c>
      <c r="O67" s="511"/>
      <c r="P67" s="555" t="str">
        <f>IFERROR(VLOOKUP(K67,【参考】数式用!$A$2:$F$57,MATCH(O67,【参考】数式用!$C$3:$F$3,0)+2,0),"")</f>
        <v/>
      </c>
      <c r="Q67" s="310" t="s">
        <v>118</v>
      </c>
      <c r="R67" s="308"/>
      <c r="S67" s="309" t="s">
        <v>183</v>
      </c>
      <c r="T67" s="308"/>
      <c r="U67" s="309" t="s">
        <v>184</v>
      </c>
      <c r="V67" s="308"/>
      <c r="W67" s="309" t="s">
        <v>183</v>
      </c>
      <c r="X67" s="308"/>
      <c r="Y67" s="309" t="s">
        <v>185</v>
      </c>
      <c r="Z67" s="309" t="s">
        <v>186</v>
      </c>
      <c r="AA67" s="309" t="str">
        <f t="shared" si="21"/>
        <v/>
      </c>
      <c r="AB67" s="305" t="s">
        <v>187</v>
      </c>
      <c r="AC67" s="306" t="str">
        <f t="shared" si="10"/>
        <v/>
      </c>
      <c r="AD67" s="515" t="str">
        <f t="shared" si="11"/>
        <v/>
      </c>
      <c r="AE67" s="307" t="str">
        <f>IFERROR(ROUNDDOWN(ROUNDDOWN(ROUND(L67*VLOOKUP(K67,【参考】数式用!$A$4:$F$57,MATCH("処遇改善加算Ⅳ",【参考】数式用!$C$3:$F$3,0)+2,0),0),0)*AA67*0.5,0), "")</f>
        <v/>
      </c>
      <c r="AF67" s="318"/>
      <c r="AG67" s="319"/>
      <c r="AH67" s="319"/>
      <c r="AI67" s="318"/>
      <c r="AJ67" s="320"/>
      <c r="AK67" s="326"/>
      <c r="AL67" s="324" t="str">
        <f t="shared" si="22"/>
        <v/>
      </c>
      <c r="AM67" s="325" t="str">
        <f t="shared" si="20"/>
        <v/>
      </c>
      <c r="AN67" s="255"/>
      <c r="AO67" s="557" t="str">
        <f>IFERROR(VLOOKUP(K67,【参考】数式用!$A$2:$N$57,14,FALSE),"")</f>
        <v/>
      </c>
      <c r="AP67" s="557" t="str">
        <f t="shared" si="23"/>
        <v/>
      </c>
      <c r="AQ67" s="561" t="str">
        <f t="shared" si="24"/>
        <v/>
      </c>
      <c r="AR67" s="540" t="str">
        <f t="shared" si="25"/>
        <v>入力済</v>
      </c>
      <c r="AS67" s="578" t="str">
        <f t="shared" si="12"/>
        <v/>
      </c>
      <c r="AT67" s="540" t="str">
        <f t="shared" si="26"/>
        <v>入力済</v>
      </c>
      <c r="AU67" s="540" t="str">
        <f t="shared" si="32"/>
        <v/>
      </c>
      <c r="AV67" s="540" t="str">
        <f t="shared" si="27"/>
        <v/>
      </c>
      <c r="AW67" s="557" t="str">
        <f t="shared" si="28"/>
        <v/>
      </c>
      <c r="AX67" s="578" t="str">
        <f t="shared" si="14"/>
        <v/>
      </c>
      <c r="AY67" s="540" t="str">
        <f>IFERROR(VLOOKUP(K67,【参考】数式用!$AR$5:$AS$39,2, FALSE), "")</f>
        <v/>
      </c>
      <c r="AZ67" s="557" t="str">
        <f t="shared" si="15"/>
        <v/>
      </c>
      <c r="BA67" s="560" t="str">
        <f t="shared" si="29"/>
        <v>入力済</v>
      </c>
      <c r="BB67" s="540" t="str">
        <f>IFERROR(VLOOKUP(K67,【参考】数式用!$AX$3:$AY$59, 2, FALSE), "")</f>
        <v/>
      </c>
      <c r="BC67" s="578" t="str">
        <f t="shared" si="16"/>
        <v/>
      </c>
      <c r="BD67" s="560" t="str">
        <f t="shared" si="30"/>
        <v>入力済</v>
      </c>
      <c r="BE67" s="577" t="str">
        <f t="shared" si="17"/>
        <v/>
      </c>
      <c r="BF67" s="560" t="str">
        <f t="shared" si="31"/>
        <v/>
      </c>
      <c r="BG67" s="597"/>
      <c r="BH67" s="593" t="str">
        <f t="shared" si="18"/>
        <v/>
      </c>
      <c r="BI67" s="616" t="str">
        <f>IF(BH67="Ⅱロ有り",ROUNDDOWN(L67*VLOOKUP(K67,【参考】数式用!$A$4:$J$42,10,FALSE)*AA67,0),"")</f>
        <v/>
      </c>
      <c r="BJ67" s="616" t="str">
        <f>IF(BH67="Ⅱロなし",ROUNDDOWN(L67*VLOOKUP(K67,【参考】数式用!$A$4:$J$42,8,FALSE)*AA67,0),"")</f>
        <v/>
      </c>
    </row>
    <row r="68" spans="1:62" ht="109.9" customHeight="1" thickBot="1">
      <c r="A68" s="303">
        <v>55</v>
      </c>
      <c r="B68" s="956" t="str">
        <f>IF(基本情報入力シート!B90="","",基本情報入力シート!B90)</f>
        <v/>
      </c>
      <c r="C68" s="957"/>
      <c r="D68" s="957"/>
      <c r="E68" s="957"/>
      <c r="F68" s="958"/>
      <c r="G68" s="304" t="str">
        <f>IF(基本情報入力シート!L90="", "", 基本情報入力シート!L90)</f>
        <v/>
      </c>
      <c r="H68" s="304" t="str">
        <f>IF(基本情報入力シート!Q90="", "", 基本情報入力シート!Q90)</f>
        <v/>
      </c>
      <c r="I68" s="304" t="str">
        <f>IF(基本情報入力シート!V90="", "", 基本情報入力シート!V90)</f>
        <v/>
      </c>
      <c r="J68" s="304" t="str">
        <f>IF(基本情報入力シート!W90="", "", 基本情報入力シート!W90)</f>
        <v/>
      </c>
      <c r="K68" s="304" t="str">
        <f>IF(基本情報入力シート!Z90="", "", 基本情報入力シート!Z90)</f>
        <v/>
      </c>
      <c r="L68" s="558" t="str">
        <f>IF(基本情報入力シート!AF90=0, "",基本情報入力シート!AF90)</f>
        <v/>
      </c>
      <c r="M68" s="588"/>
      <c r="N68" s="522" t="str">
        <f>IFERROR(VLOOKUP(K68,【参考】数式用!$A$2:$F$57,MATCH(M68,【参考】数式用!$C$3:$F$3,0)+2,0),"")</f>
        <v/>
      </c>
      <c r="O68" s="511"/>
      <c r="P68" s="555" t="str">
        <f>IFERROR(VLOOKUP(K68,【参考】数式用!$A$2:$F$57,MATCH(O68,【参考】数式用!$C$3:$F$3,0)+2,0),"")</f>
        <v/>
      </c>
      <c r="Q68" s="310" t="s">
        <v>118</v>
      </c>
      <c r="R68" s="308"/>
      <c r="S68" s="309" t="s">
        <v>183</v>
      </c>
      <c r="T68" s="308"/>
      <c r="U68" s="309" t="s">
        <v>184</v>
      </c>
      <c r="V68" s="308"/>
      <c r="W68" s="309" t="s">
        <v>183</v>
      </c>
      <c r="X68" s="308"/>
      <c r="Y68" s="309" t="s">
        <v>185</v>
      </c>
      <c r="Z68" s="309" t="s">
        <v>186</v>
      </c>
      <c r="AA68" s="309" t="str">
        <f t="shared" si="21"/>
        <v/>
      </c>
      <c r="AB68" s="305" t="s">
        <v>187</v>
      </c>
      <c r="AC68" s="306" t="str">
        <f t="shared" si="10"/>
        <v/>
      </c>
      <c r="AD68" s="515" t="str">
        <f t="shared" si="11"/>
        <v/>
      </c>
      <c r="AE68" s="307" t="str">
        <f>IFERROR(ROUNDDOWN(ROUNDDOWN(ROUND(L68*VLOOKUP(K68,【参考】数式用!$A$4:$F$57,MATCH("処遇改善加算Ⅳ",【参考】数式用!$C$3:$F$3,0)+2,0),0),0)*AA68*0.5,0), "")</f>
        <v/>
      </c>
      <c r="AF68" s="318"/>
      <c r="AG68" s="319"/>
      <c r="AH68" s="319"/>
      <c r="AI68" s="318"/>
      <c r="AJ68" s="320"/>
      <c r="AK68" s="326"/>
      <c r="AL68" s="324" t="str">
        <f t="shared" si="22"/>
        <v/>
      </c>
      <c r="AM68" s="325" t="str">
        <f t="shared" si="20"/>
        <v/>
      </c>
      <c r="AN68" s="255"/>
      <c r="AO68" s="557" t="str">
        <f>IFERROR(VLOOKUP(K68,【参考】数式用!$A$2:$N$57,14,FALSE),"")</f>
        <v/>
      </c>
      <c r="AP68" s="557" t="str">
        <f t="shared" si="23"/>
        <v/>
      </c>
      <c r="AQ68" s="561" t="str">
        <f t="shared" si="24"/>
        <v/>
      </c>
      <c r="AR68" s="540" t="str">
        <f t="shared" si="25"/>
        <v>入力済</v>
      </c>
      <c r="AS68" s="578" t="str">
        <f t="shared" si="12"/>
        <v/>
      </c>
      <c r="AT68" s="540" t="str">
        <f t="shared" si="26"/>
        <v>入力済</v>
      </c>
      <c r="AU68" s="540" t="str">
        <f t="shared" si="32"/>
        <v/>
      </c>
      <c r="AV68" s="540" t="str">
        <f t="shared" si="27"/>
        <v/>
      </c>
      <c r="AW68" s="557" t="str">
        <f t="shared" si="28"/>
        <v/>
      </c>
      <c r="AX68" s="578" t="str">
        <f t="shared" si="14"/>
        <v/>
      </c>
      <c r="AY68" s="540" t="str">
        <f>IFERROR(VLOOKUP(K68,【参考】数式用!$AR$5:$AS$39,2, FALSE), "")</f>
        <v/>
      </c>
      <c r="AZ68" s="557" t="str">
        <f t="shared" si="15"/>
        <v/>
      </c>
      <c r="BA68" s="560" t="str">
        <f t="shared" si="29"/>
        <v>入力済</v>
      </c>
      <c r="BB68" s="540" t="str">
        <f>IFERROR(VLOOKUP(K68,【参考】数式用!$AX$3:$AY$59, 2, FALSE), "")</f>
        <v/>
      </c>
      <c r="BC68" s="578" t="str">
        <f t="shared" si="16"/>
        <v/>
      </c>
      <c r="BD68" s="560" t="str">
        <f t="shared" si="30"/>
        <v>入力済</v>
      </c>
      <c r="BE68" s="577" t="str">
        <f t="shared" si="17"/>
        <v/>
      </c>
      <c r="BF68" s="560" t="str">
        <f t="shared" si="31"/>
        <v/>
      </c>
      <c r="BG68" s="597"/>
      <c r="BH68" s="593" t="str">
        <f t="shared" si="18"/>
        <v/>
      </c>
      <c r="BI68" s="616" t="str">
        <f>IF(BH68="Ⅱロ有り",ROUNDDOWN(L68*VLOOKUP(K68,【参考】数式用!$A$4:$J$42,10,FALSE)*AA68,0),"")</f>
        <v/>
      </c>
      <c r="BJ68" s="616" t="str">
        <f>IF(BH68="Ⅱロなし",ROUNDDOWN(L68*VLOOKUP(K68,【参考】数式用!$A$4:$J$42,8,FALSE)*AA68,0),"")</f>
        <v/>
      </c>
    </row>
    <row r="69" spans="1:62" ht="109.9" customHeight="1" thickBot="1">
      <c r="A69" s="303">
        <v>56</v>
      </c>
      <c r="B69" s="956" t="str">
        <f>IF(基本情報入力シート!B91="","",基本情報入力シート!B91)</f>
        <v/>
      </c>
      <c r="C69" s="957"/>
      <c r="D69" s="957"/>
      <c r="E69" s="957"/>
      <c r="F69" s="958"/>
      <c r="G69" s="304" t="str">
        <f>IF(基本情報入力シート!L91="", "", 基本情報入力シート!L91)</f>
        <v/>
      </c>
      <c r="H69" s="304" t="str">
        <f>IF(基本情報入力シート!Q91="", "", 基本情報入力シート!Q91)</f>
        <v/>
      </c>
      <c r="I69" s="304" t="str">
        <f>IF(基本情報入力シート!V91="", "", 基本情報入力シート!V91)</f>
        <v/>
      </c>
      <c r="J69" s="304" t="str">
        <f>IF(基本情報入力シート!W91="", "", 基本情報入力シート!W91)</f>
        <v/>
      </c>
      <c r="K69" s="304" t="str">
        <f>IF(基本情報入力シート!Z91="", "", 基本情報入力シート!Z91)</f>
        <v/>
      </c>
      <c r="L69" s="558" t="str">
        <f>IF(基本情報入力シート!AF91=0, "",基本情報入力シート!AF91)</f>
        <v/>
      </c>
      <c r="M69" s="588"/>
      <c r="N69" s="522" t="str">
        <f>IFERROR(VLOOKUP(K69,【参考】数式用!$A$2:$F$57,MATCH(M69,【参考】数式用!$C$3:$F$3,0)+2,0),"")</f>
        <v/>
      </c>
      <c r="O69" s="511"/>
      <c r="P69" s="555" t="str">
        <f>IFERROR(VLOOKUP(K69,【参考】数式用!$A$2:$F$57,MATCH(O69,【参考】数式用!$C$3:$F$3,0)+2,0),"")</f>
        <v/>
      </c>
      <c r="Q69" s="310" t="s">
        <v>118</v>
      </c>
      <c r="R69" s="308"/>
      <c r="S69" s="309" t="s">
        <v>183</v>
      </c>
      <c r="T69" s="308"/>
      <c r="U69" s="309" t="s">
        <v>184</v>
      </c>
      <c r="V69" s="308"/>
      <c r="W69" s="309" t="s">
        <v>183</v>
      </c>
      <c r="X69" s="308"/>
      <c r="Y69" s="309" t="s">
        <v>185</v>
      </c>
      <c r="Z69" s="309" t="s">
        <v>186</v>
      </c>
      <c r="AA69" s="309" t="str">
        <f t="shared" si="21"/>
        <v/>
      </c>
      <c r="AB69" s="305" t="s">
        <v>187</v>
      </c>
      <c r="AC69" s="306" t="str">
        <f t="shared" si="10"/>
        <v/>
      </c>
      <c r="AD69" s="515" t="str">
        <f t="shared" si="11"/>
        <v/>
      </c>
      <c r="AE69" s="307" t="str">
        <f>IFERROR(ROUNDDOWN(ROUNDDOWN(ROUND(L69*VLOOKUP(K69,【参考】数式用!$A$4:$F$57,MATCH("処遇改善加算Ⅳ",【参考】数式用!$C$3:$F$3,0)+2,0),0),0)*AA69*0.5,0), "")</f>
        <v/>
      </c>
      <c r="AF69" s="318"/>
      <c r="AG69" s="319"/>
      <c r="AH69" s="319"/>
      <c r="AI69" s="318"/>
      <c r="AJ69" s="320"/>
      <c r="AK69" s="326"/>
      <c r="AL69" s="324" t="str">
        <f t="shared" si="22"/>
        <v/>
      </c>
      <c r="AM69" s="325" t="str">
        <f t="shared" si="20"/>
        <v/>
      </c>
      <c r="AN69" s="255"/>
      <c r="AO69" s="557" t="str">
        <f>IFERROR(VLOOKUP(K69,【参考】数式用!$A$2:$N$57,14,FALSE),"")</f>
        <v/>
      </c>
      <c r="AP69" s="557" t="str">
        <f t="shared" si="23"/>
        <v/>
      </c>
      <c r="AQ69" s="561" t="str">
        <f t="shared" si="24"/>
        <v/>
      </c>
      <c r="AR69" s="540" t="str">
        <f t="shared" si="25"/>
        <v>入力済</v>
      </c>
      <c r="AS69" s="578" t="str">
        <f t="shared" si="12"/>
        <v/>
      </c>
      <c r="AT69" s="540" t="str">
        <f t="shared" si="26"/>
        <v>入力済</v>
      </c>
      <c r="AU69" s="540" t="str">
        <f t="shared" si="32"/>
        <v/>
      </c>
      <c r="AV69" s="540" t="str">
        <f t="shared" si="27"/>
        <v/>
      </c>
      <c r="AW69" s="557" t="str">
        <f t="shared" si="28"/>
        <v/>
      </c>
      <c r="AX69" s="578" t="str">
        <f t="shared" si="14"/>
        <v/>
      </c>
      <c r="AY69" s="540" t="str">
        <f>IFERROR(VLOOKUP(K69,【参考】数式用!$AR$5:$AS$39,2, FALSE), "")</f>
        <v/>
      </c>
      <c r="AZ69" s="557" t="str">
        <f t="shared" si="15"/>
        <v/>
      </c>
      <c r="BA69" s="560" t="str">
        <f t="shared" si="29"/>
        <v>入力済</v>
      </c>
      <c r="BB69" s="540" t="str">
        <f>IFERROR(VLOOKUP(K69,【参考】数式用!$AX$3:$AY$59, 2, FALSE), "")</f>
        <v/>
      </c>
      <c r="BC69" s="578" t="str">
        <f t="shared" si="16"/>
        <v/>
      </c>
      <c r="BD69" s="560" t="str">
        <f t="shared" si="30"/>
        <v>入力済</v>
      </c>
      <c r="BE69" s="577" t="str">
        <f t="shared" si="17"/>
        <v/>
      </c>
      <c r="BF69" s="560" t="str">
        <f t="shared" si="31"/>
        <v/>
      </c>
      <c r="BG69" s="597"/>
      <c r="BH69" s="593" t="str">
        <f t="shared" si="18"/>
        <v/>
      </c>
      <c r="BI69" s="616" t="str">
        <f>IF(BH69="Ⅱロ有り",ROUNDDOWN(L69*VLOOKUP(K69,【参考】数式用!$A$4:$J$42,10,FALSE)*AA69,0),"")</f>
        <v/>
      </c>
      <c r="BJ69" s="616" t="str">
        <f>IF(BH69="Ⅱロなし",ROUNDDOWN(L69*VLOOKUP(K69,【参考】数式用!$A$4:$J$42,8,FALSE)*AA69,0),"")</f>
        <v/>
      </c>
    </row>
    <row r="70" spans="1:62" ht="109.9" customHeight="1" thickBot="1">
      <c r="A70" s="303">
        <v>57</v>
      </c>
      <c r="B70" s="956" t="str">
        <f>IF(基本情報入力シート!B92="","",基本情報入力シート!B92)</f>
        <v/>
      </c>
      <c r="C70" s="957"/>
      <c r="D70" s="957"/>
      <c r="E70" s="957"/>
      <c r="F70" s="958"/>
      <c r="G70" s="304" t="str">
        <f>IF(基本情報入力シート!L92="", "", 基本情報入力シート!L92)</f>
        <v/>
      </c>
      <c r="H70" s="304" t="str">
        <f>IF(基本情報入力シート!Q92="", "", 基本情報入力シート!Q92)</f>
        <v/>
      </c>
      <c r="I70" s="304" t="str">
        <f>IF(基本情報入力シート!V92="", "", 基本情報入力シート!V92)</f>
        <v/>
      </c>
      <c r="J70" s="304" t="str">
        <f>IF(基本情報入力シート!W92="", "", 基本情報入力シート!W92)</f>
        <v/>
      </c>
      <c r="K70" s="304" t="str">
        <f>IF(基本情報入力シート!Z92="", "", 基本情報入力シート!Z92)</f>
        <v/>
      </c>
      <c r="L70" s="558" t="str">
        <f>IF(基本情報入力シート!AF92=0, "",基本情報入力シート!AF92)</f>
        <v/>
      </c>
      <c r="M70" s="588"/>
      <c r="N70" s="522" t="str">
        <f>IFERROR(VLOOKUP(K70,【参考】数式用!$A$2:$F$57,MATCH(M70,【参考】数式用!$C$3:$F$3,0)+2,0),"")</f>
        <v/>
      </c>
      <c r="O70" s="511"/>
      <c r="P70" s="555" t="str">
        <f>IFERROR(VLOOKUP(K70,【参考】数式用!$A$2:$F$57,MATCH(O70,【参考】数式用!$C$3:$F$3,0)+2,0),"")</f>
        <v/>
      </c>
      <c r="Q70" s="310" t="s">
        <v>118</v>
      </c>
      <c r="R70" s="308"/>
      <c r="S70" s="309" t="s">
        <v>183</v>
      </c>
      <c r="T70" s="308"/>
      <c r="U70" s="309" t="s">
        <v>184</v>
      </c>
      <c r="V70" s="308"/>
      <c r="W70" s="309" t="s">
        <v>183</v>
      </c>
      <c r="X70" s="308"/>
      <c r="Y70" s="309" t="s">
        <v>185</v>
      </c>
      <c r="Z70" s="309" t="s">
        <v>186</v>
      </c>
      <c r="AA70" s="309" t="str">
        <f t="shared" si="21"/>
        <v/>
      </c>
      <c r="AB70" s="305" t="s">
        <v>187</v>
      </c>
      <c r="AC70" s="306" t="str">
        <f t="shared" si="10"/>
        <v/>
      </c>
      <c r="AD70" s="515" t="str">
        <f t="shared" si="11"/>
        <v/>
      </c>
      <c r="AE70" s="307" t="str">
        <f>IFERROR(ROUNDDOWN(ROUNDDOWN(ROUND(L70*VLOOKUP(K70,【参考】数式用!$A$4:$F$57,MATCH("処遇改善加算Ⅳ",【参考】数式用!$C$3:$F$3,0)+2,0),0),0)*AA70*0.5,0), "")</f>
        <v/>
      </c>
      <c r="AF70" s="318"/>
      <c r="AG70" s="319"/>
      <c r="AH70" s="319"/>
      <c r="AI70" s="318"/>
      <c r="AJ70" s="320"/>
      <c r="AK70" s="326"/>
      <c r="AL70" s="324" t="str">
        <f t="shared" si="22"/>
        <v/>
      </c>
      <c r="AM70" s="325" t="str">
        <f t="shared" si="20"/>
        <v/>
      </c>
      <c r="AN70" s="255"/>
      <c r="AO70" s="557" t="str">
        <f>IFERROR(VLOOKUP(K70,【参考】数式用!$A$2:$N$57,14,FALSE),"")</f>
        <v/>
      </c>
      <c r="AP70" s="557" t="str">
        <f t="shared" si="23"/>
        <v/>
      </c>
      <c r="AQ70" s="561" t="str">
        <f t="shared" si="24"/>
        <v/>
      </c>
      <c r="AR70" s="540" t="str">
        <f t="shared" si="25"/>
        <v>入力済</v>
      </c>
      <c r="AS70" s="578" t="str">
        <f t="shared" si="12"/>
        <v/>
      </c>
      <c r="AT70" s="540" t="str">
        <f t="shared" si="26"/>
        <v>入力済</v>
      </c>
      <c r="AU70" s="540" t="str">
        <f t="shared" si="32"/>
        <v/>
      </c>
      <c r="AV70" s="540" t="str">
        <f t="shared" si="27"/>
        <v/>
      </c>
      <c r="AW70" s="557" t="str">
        <f t="shared" si="28"/>
        <v/>
      </c>
      <c r="AX70" s="578" t="str">
        <f t="shared" si="14"/>
        <v/>
      </c>
      <c r="AY70" s="540" t="str">
        <f>IFERROR(VLOOKUP(K70,【参考】数式用!$AR$5:$AS$39,2, FALSE), "")</f>
        <v/>
      </c>
      <c r="AZ70" s="557" t="str">
        <f t="shared" si="15"/>
        <v/>
      </c>
      <c r="BA70" s="560" t="str">
        <f t="shared" si="29"/>
        <v>入力済</v>
      </c>
      <c r="BB70" s="540" t="str">
        <f>IFERROR(VLOOKUP(K70,【参考】数式用!$AX$3:$AY$59, 2, FALSE), "")</f>
        <v/>
      </c>
      <c r="BC70" s="578" t="str">
        <f t="shared" si="16"/>
        <v/>
      </c>
      <c r="BD70" s="560" t="str">
        <f t="shared" si="30"/>
        <v>入力済</v>
      </c>
      <c r="BE70" s="577" t="str">
        <f t="shared" si="17"/>
        <v/>
      </c>
      <c r="BF70" s="560" t="str">
        <f t="shared" si="31"/>
        <v/>
      </c>
      <c r="BG70" s="597"/>
      <c r="BH70" s="593" t="str">
        <f t="shared" si="18"/>
        <v/>
      </c>
      <c r="BI70" s="616" t="str">
        <f>IF(BH70="Ⅱロ有り",ROUNDDOWN(L70*VLOOKUP(K70,【参考】数式用!$A$4:$J$42,10,FALSE)*AA70,0),"")</f>
        <v/>
      </c>
      <c r="BJ70" s="616" t="str">
        <f>IF(BH70="Ⅱロなし",ROUNDDOWN(L70*VLOOKUP(K70,【参考】数式用!$A$4:$J$42,8,FALSE)*AA70,0),"")</f>
        <v/>
      </c>
    </row>
    <row r="71" spans="1:62" ht="109.9" customHeight="1" thickBot="1">
      <c r="A71" s="303">
        <v>58</v>
      </c>
      <c r="B71" s="956" t="str">
        <f>IF(基本情報入力シート!B93="","",基本情報入力シート!B93)</f>
        <v/>
      </c>
      <c r="C71" s="957"/>
      <c r="D71" s="957"/>
      <c r="E71" s="957"/>
      <c r="F71" s="958"/>
      <c r="G71" s="304" t="str">
        <f>IF(基本情報入力シート!L93="", "", 基本情報入力シート!L93)</f>
        <v/>
      </c>
      <c r="H71" s="304" t="str">
        <f>IF(基本情報入力シート!Q93="", "", 基本情報入力シート!Q93)</f>
        <v/>
      </c>
      <c r="I71" s="304" t="str">
        <f>IF(基本情報入力シート!V93="", "", 基本情報入力シート!V93)</f>
        <v/>
      </c>
      <c r="J71" s="304" t="str">
        <f>IF(基本情報入力シート!W93="", "", 基本情報入力シート!W93)</f>
        <v/>
      </c>
      <c r="K71" s="304" t="str">
        <f>IF(基本情報入力シート!Z93="", "", 基本情報入力シート!Z93)</f>
        <v/>
      </c>
      <c r="L71" s="558" t="str">
        <f>IF(基本情報入力シート!AF93=0, "",基本情報入力シート!AF93)</f>
        <v/>
      </c>
      <c r="M71" s="588"/>
      <c r="N71" s="522" t="str">
        <f>IFERROR(VLOOKUP(K71,【参考】数式用!$A$2:$F$57,MATCH(M71,【参考】数式用!$C$3:$F$3,0)+2,0),"")</f>
        <v/>
      </c>
      <c r="O71" s="511"/>
      <c r="P71" s="555" t="str">
        <f>IFERROR(VLOOKUP(K71,【参考】数式用!$A$2:$F$57,MATCH(O71,【参考】数式用!$C$3:$F$3,0)+2,0),"")</f>
        <v/>
      </c>
      <c r="Q71" s="310" t="s">
        <v>118</v>
      </c>
      <c r="R71" s="308"/>
      <c r="S71" s="309" t="s">
        <v>183</v>
      </c>
      <c r="T71" s="308"/>
      <c r="U71" s="309" t="s">
        <v>184</v>
      </c>
      <c r="V71" s="308"/>
      <c r="W71" s="309" t="s">
        <v>183</v>
      </c>
      <c r="X71" s="308"/>
      <c r="Y71" s="309" t="s">
        <v>185</v>
      </c>
      <c r="Z71" s="309" t="s">
        <v>186</v>
      </c>
      <c r="AA71" s="309" t="str">
        <f t="shared" si="21"/>
        <v/>
      </c>
      <c r="AB71" s="305" t="s">
        <v>187</v>
      </c>
      <c r="AC71" s="306" t="str">
        <f t="shared" si="10"/>
        <v/>
      </c>
      <c r="AD71" s="515" t="str">
        <f t="shared" si="11"/>
        <v/>
      </c>
      <c r="AE71" s="307" t="str">
        <f>IFERROR(ROUNDDOWN(ROUNDDOWN(ROUND(L71*VLOOKUP(K71,【参考】数式用!$A$4:$F$57,MATCH("処遇改善加算Ⅳ",【参考】数式用!$C$3:$F$3,0)+2,0),0),0)*AA71*0.5,0), "")</f>
        <v/>
      </c>
      <c r="AF71" s="318"/>
      <c r="AG71" s="319"/>
      <c r="AH71" s="319"/>
      <c r="AI71" s="318"/>
      <c r="AJ71" s="320"/>
      <c r="AK71" s="326"/>
      <c r="AL71" s="324" t="str">
        <f t="shared" si="22"/>
        <v/>
      </c>
      <c r="AM71" s="325" t="str">
        <f t="shared" si="20"/>
        <v/>
      </c>
      <c r="AN71" s="255"/>
      <c r="AO71" s="557" t="str">
        <f>IFERROR(VLOOKUP(K71,【参考】数式用!$A$2:$N$57,14,FALSE),"")</f>
        <v/>
      </c>
      <c r="AP71" s="557" t="str">
        <f t="shared" si="23"/>
        <v/>
      </c>
      <c r="AQ71" s="561" t="str">
        <f t="shared" si="24"/>
        <v/>
      </c>
      <c r="AR71" s="540" t="str">
        <f t="shared" si="25"/>
        <v>入力済</v>
      </c>
      <c r="AS71" s="578" t="str">
        <f t="shared" si="12"/>
        <v/>
      </c>
      <c r="AT71" s="540" t="str">
        <f t="shared" si="26"/>
        <v>入力済</v>
      </c>
      <c r="AU71" s="540" t="str">
        <f t="shared" si="32"/>
        <v/>
      </c>
      <c r="AV71" s="540" t="str">
        <f t="shared" si="27"/>
        <v/>
      </c>
      <c r="AW71" s="557" t="str">
        <f t="shared" si="28"/>
        <v/>
      </c>
      <c r="AX71" s="578" t="str">
        <f t="shared" si="14"/>
        <v/>
      </c>
      <c r="AY71" s="540" t="str">
        <f>IFERROR(VLOOKUP(K71,【参考】数式用!$AR$5:$AS$39,2, FALSE), "")</f>
        <v/>
      </c>
      <c r="AZ71" s="557" t="str">
        <f t="shared" si="15"/>
        <v/>
      </c>
      <c r="BA71" s="560" t="str">
        <f t="shared" si="29"/>
        <v>入力済</v>
      </c>
      <c r="BB71" s="540" t="str">
        <f>IFERROR(VLOOKUP(K71,【参考】数式用!$AX$3:$AY$59, 2, FALSE), "")</f>
        <v/>
      </c>
      <c r="BC71" s="578" t="str">
        <f t="shared" si="16"/>
        <v/>
      </c>
      <c r="BD71" s="560" t="str">
        <f t="shared" si="30"/>
        <v>入力済</v>
      </c>
      <c r="BE71" s="577" t="str">
        <f t="shared" si="17"/>
        <v/>
      </c>
      <c r="BF71" s="560" t="str">
        <f t="shared" si="31"/>
        <v/>
      </c>
      <c r="BG71" s="597"/>
      <c r="BH71" s="593" t="str">
        <f t="shared" si="18"/>
        <v/>
      </c>
      <c r="BI71" s="616" t="str">
        <f>IF(BH71="Ⅱロ有り",ROUNDDOWN(L71*VLOOKUP(K71,【参考】数式用!$A$4:$J$42,10,FALSE)*AA71,0),"")</f>
        <v/>
      </c>
      <c r="BJ71" s="616" t="str">
        <f>IF(BH71="Ⅱロなし",ROUNDDOWN(L71*VLOOKUP(K71,【参考】数式用!$A$4:$J$42,8,FALSE)*AA71,0),"")</f>
        <v/>
      </c>
    </row>
    <row r="72" spans="1:62" ht="109.9" customHeight="1" thickBot="1">
      <c r="A72" s="303">
        <v>59</v>
      </c>
      <c r="B72" s="956" t="str">
        <f>IF(基本情報入力シート!B94="","",基本情報入力シート!B94)</f>
        <v/>
      </c>
      <c r="C72" s="957"/>
      <c r="D72" s="957"/>
      <c r="E72" s="957"/>
      <c r="F72" s="958"/>
      <c r="G72" s="304" t="str">
        <f>IF(基本情報入力シート!L94="", "", 基本情報入力シート!L94)</f>
        <v/>
      </c>
      <c r="H72" s="304" t="str">
        <f>IF(基本情報入力シート!Q94="", "", 基本情報入力シート!Q94)</f>
        <v/>
      </c>
      <c r="I72" s="304" t="str">
        <f>IF(基本情報入力シート!V94="", "", 基本情報入力シート!V94)</f>
        <v/>
      </c>
      <c r="J72" s="304" t="str">
        <f>IF(基本情報入力シート!W94="", "", 基本情報入力シート!W94)</f>
        <v/>
      </c>
      <c r="K72" s="304" t="str">
        <f>IF(基本情報入力シート!Z94="", "", 基本情報入力シート!Z94)</f>
        <v/>
      </c>
      <c r="L72" s="558" t="str">
        <f>IF(基本情報入力シート!AF94=0, "",基本情報入力シート!AF94)</f>
        <v/>
      </c>
      <c r="M72" s="588"/>
      <c r="N72" s="522" t="str">
        <f>IFERROR(VLOOKUP(K72,【参考】数式用!$A$2:$F$57,MATCH(M72,【参考】数式用!$C$3:$F$3,0)+2,0),"")</f>
        <v/>
      </c>
      <c r="O72" s="511"/>
      <c r="P72" s="555" t="str">
        <f>IFERROR(VLOOKUP(K72,【参考】数式用!$A$2:$F$57,MATCH(O72,【参考】数式用!$C$3:$F$3,0)+2,0),"")</f>
        <v/>
      </c>
      <c r="Q72" s="310" t="s">
        <v>118</v>
      </c>
      <c r="R72" s="308"/>
      <c r="S72" s="309" t="s">
        <v>183</v>
      </c>
      <c r="T72" s="308"/>
      <c r="U72" s="309" t="s">
        <v>184</v>
      </c>
      <c r="V72" s="308"/>
      <c r="W72" s="309" t="s">
        <v>183</v>
      </c>
      <c r="X72" s="308"/>
      <c r="Y72" s="309" t="s">
        <v>185</v>
      </c>
      <c r="Z72" s="309" t="s">
        <v>186</v>
      </c>
      <c r="AA72" s="309" t="str">
        <f t="shared" si="21"/>
        <v/>
      </c>
      <c r="AB72" s="305" t="s">
        <v>187</v>
      </c>
      <c r="AC72" s="306" t="str">
        <f t="shared" si="10"/>
        <v/>
      </c>
      <c r="AD72" s="515" t="str">
        <f t="shared" si="11"/>
        <v/>
      </c>
      <c r="AE72" s="307" t="str">
        <f>IFERROR(ROUNDDOWN(ROUNDDOWN(ROUND(L72*VLOOKUP(K72,【参考】数式用!$A$4:$F$57,MATCH("処遇改善加算Ⅳ",【参考】数式用!$C$3:$F$3,0)+2,0),0),0)*AA72*0.5,0), "")</f>
        <v/>
      </c>
      <c r="AF72" s="318"/>
      <c r="AG72" s="319"/>
      <c r="AH72" s="319"/>
      <c r="AI72" s="318"/>
      <c r="AJ72" s="320"/>
      <c r="AK72" s="326"/>
      <c r="AL72" s="324" t="str">
        <f t="shared" si="22"/>
        <v/>
      </c>
      <c r="AM72" s="325" t="str">
        <f t="shared" si="20"/>
        <v/>
      </c>
      <c r="AN72" s="255"/>
      <c r="AO72" s="557" t="str">
        <f>IFERROR(VLOOKUP(K72,【参考】数式用!$A$2:$N$57,14,FALSE),"")</f>
        <v/>
      </c>
      <c r="AP72" s="557" t="str">
        <f t="shared" si="23"/>
        <v/>
      </c>
      <c r="AQ72" s="561" t="str">
        <f t="shared" si="24"/>
        <v/>
      </c>
      <c r="AR72" s="540" t="str">
        <f t="shared" si="25"/>
        <v>入力済</v>
      </c>
      <c r="AS72" s="578" t="str">
        <f t="shared" si="12"/>
        <v/>
      </c>
      <c r="AT72" s="540" t="str">
        <f t="shared" si="26"/>
        <v>入力済</v>
      </c>
      <c r="AU72" s="540" t="str">
        <f t="shared" si="32"/>
        <v/>
      </c>
      <c r="AV72" s="540" t="str">
        <f t="shared" si="27"/>
        <v/>
      </c>
      <c r="AW72" s="557" t="str">
        <f t="shared" si="28"/>
        <v/>
      </c>
      <c r="AX72" s="578" t="str">
        <f t="shared" si="14"/>
        <v/>
      </c>
      <c r="AY72" s="540" t="str">
        <f>IFERROR(VLOOKUP(K72,【参考】数式用!$AR$5:$AS$39,2, FALSE), "")</f>
        <v/>
      </c>
      <c r="AZ72" s="557" t="str">
        <f t="shared" si="15"/>
        <v/>
      </c>
      <c r="BA72" s="560" t="str">
        <f t="shared" si="29"/>
        <v>入力済</v>
      </c>
      <c r="BB72" s="540" t="str">
        <f>IFERROR(VLOOKUP(K72,【参考】数式用!$AX$3:$AY$59, 2, FALSE), "")</f>
        <v/>
      </c>
      <c r="BC72" s="578" t="str">
        <f t="shared" si="16"/>
        <v/>
      </c>
      <c r="BD72" s="560" t="str">
        <f t="shared" si="30"/>
        <v>入力済</v>
      </c>
      <c r="BE72" s="577" t="str">
        <f t="shared" si="17"/>
        <v/>
      </c>
      <c r="BF72" s="560" t="str">
        <f t="shared" si="31"/>
        <v/>
      </c>
      <c r="BG72" s="597"/>
      <c r="BH72" s="593" t="str">
        <f t="shared" si="18"/>
        <v/>
      </c>
      <c r="BI72" s="616" t="str">
        <f>IF(BH72="Ⅱロ有り",ROUNDDOWN(L72*VLOOKUP(K72,【参考】数式用!$A$4:$J$42,10,FALSE)*AA72,0),"")</f>
        <v/>
      </c>
      <c r="BJ72" s="616" t="str">
        <f>IF(BH72="Ⅱロなし",ROUNDDOWN(L72*VLOOKUP(K72,【参考】数式用!$A$4:$J$42,8,FALSE)*AA72,0),"")</f>
        <v/>
      </c>
    </row>
    <row r="73" spans="1:62" ht="109.9" customHeight="1" thickBot="1">
      <c r="A73" s="303">
        <v>60</v>
      </c>
      <c r="B73" s="956" t="str">
        <f>IF(基本情報入力シート!B95="","",基本情報入力シート!B95)</f>
        <v/>
      </c>
      <c r="C73" s="957"/>
      <c r="D73" s="957"/>
      <c r="E73" s="957"/>
      <c r="F73" s="958"/>
      <c r="G73" s="304" t="str">
        <f>IF(基本情報入力シート!L95="", "", 基本情報入力シート!L95)</f>
        <v/>
      </c>
      <c r="H73" s="304" t="str">
        <f>IF(基本情報入力シート!Q95="", "", 基本情報入力シート!Q95)</f>
        <v/>
      </c>
      <c r="I73" s="304" t="str">
        <f>IF(基本情報入力シート!V95="", "", 基本情報入力シート!V95)</f>
        <v/>
      </c>
      <c r="J73" s="304" t="str">
        <f>IF(基本情報入力シート!W95="", "", 基本情報入力シート!W95)</f>
        <v/>
      </c>
      <c r="K73" s="304" t="str">
        <f>IF(基本情報入力シート!Z95="", "", 基本情報入力シート!Z95)</f>
        <v/>
      </c>
      <c r="L73" s="558" t="str">
        <f>IF(基本情報入力シート!AF95=0, "",基本情報入力シート!AF95)</f>
        <v/>
      </c>
      <c r="M73" s="588"/>
      <c r="N73" s="522" t="str">
        <f>IFERROR(VLOOKUP(K73,【参考】数式用!$A$2:$F$57,MATCH(M73,【参考】数式用!$C$3:$F$3,0)+2,0),"")</f>
        <v/>
      </c>
      <c r="O73" s="511"/>
      <c r="P73" s="555" t="str">
        <f>IFERROR(VLOOKUP(K73,【参考】数式用!$A$2:$F$57,MATCH(O73,【参考】数式用!$C$3:$F$3,0)+2,0),"")</f>
        <v/>
      </c>
      <c r="Q73" s="310" t="s">
        <v>118</v>
      </c>
      <c r="R73" s="308"/>
      <c r="S73" s="309" t="s">
        <v>183</v>
      </c>
      <c r="T73" s="308"/>
      <c r="U73" s="309" t="s">
        <v>184</v>
      </c>
      <c r="V73" s="308"/>
      <c r="W73" s="309" t="s">
        <v>183</v>
      </c>
      <c r="X73" s="308"/>
      <c r="Y73" s="309" t="s">
        <v>185</v>
      </c>
      <c r="Z73" s="309" t="s">
        <v>186</v>
      </c>
      <c r="AA73" s="309" t="str">
        <f t="shared" si="21"/>
        <v/>
      </c>
      <c r="AB73" s="305" t="s">
        <v>187</v>
      </c>
      <c r="AC73" s="306" t="str">
        <f t="shared" si="10"/>
        <v/>
      </c>
      <c r="AD73" s="515" t="str">
        <f t="shared" si="11"/>
        <v/>
      </c>
      <c r="AE73" s="307" t="str">
        <f>IFERROR(ROUNDDOWN(ROUNDDOWN(ROUND(L73*VLOOKUP(K73,【参考】数式用!$A$4:$F$57,MATCH("処遇改善加算Ⅳ",【参考】数式用!$C$3:$F$3,0)+2,0),0),0)*AA73*0.5,0), "")</f>
        <v/>
      </c>
      <c r="AF73" s="318"/>
      <c r="AG73" s="319"/>
      <c r="AH73" s="319"/>
      <c r="AI73" s="318"/>
      <c r="AJ73" s="320"/>
      <c r="AK73" s="326"/>
      <c r="AL73" s="324" t="str">
        <f t="shared" si="22"/>
        <v/>
      </c>
      <c r="AM73" s="325" t="str">
        <f t="shared" si="20"/>
        <v/>
      </c>
      <c r="AN73" s="255"/>
      <c r="AO73" s="557" t="str">
        <f>IFERROR(VLOOKUP(K73,【参考】数式用!$A$2:$N$57,14,FALSE),"")</f>
        <v/>
      </c>
      <c r="AP73" s="557" t="str">
        <f t="shared" si="23"/>
        <v/>
      </c>
      <c r="AQ73" s="561" t="str">
        <f t="shared" si="24"/>
        <v/>
      </c>
      <c r="AR73" s="540" t="str">
        <f t="shared" si="25"/>
        <v>入力済</v>
      </c>
      <c r="AS73" s="578" t="str">
        <f t="shared" si="12"/>
        <v/>
      </c>
      <c r="AT73" s="540" t="str">
        <f t="shared" si="26"/>
        <v>入力済</v>
      </c>
      <c r="AU73" s="540" t="str">
        <f t="shared" si="32"/>
        <v/>
      </c>
      <c r="AV73" s="540" t="str">
        <f t="shared" si="27"/>
        <v/>
      </c>
      <c r="AW73" s="557" t="str">
        <f t="shared" si="28"/>
        <v/>
      </c>
      <c r="AX73" s="578" t="str">
        <f t="shared" si="14"/>
        <v/>
      </c>
      <c r="AY73" s="540" t="str">
        <f>IFERROR(VLOOKUP(K73,【参考】数式用!$AR$5:$AS$39,2, FALSE), "")</f>
        <v/>
      </c>
      <c r="AZ73" s="557" t="str">
        <f t="shared" si="15"/>
        <v/>
      </c>
      <c r="BA73" s="560" t="str">
        <f t="shared" si="29"/>
        <v>入力済</v>
      </c>
      <c r="BB73" s="540" t="str">
        <f>IFERROR(VLOOKUP(K73,【参考】数式用!$AX$3:$AY$59, 2, FALSE), "")</f>
        <v/>
      </c>
      <c r="BC73" s="578" t="str">
        <f t="shared" si="16"/>
        <v/>
      </c>
      <c r="BD73" s="560" t="str">
        <f t="shared" si="30"/>
        <v>入力済</v>
      </c>
      <c r="BE73" s="577" t="str">
        <f t="shared" si="17"/>
        <v/>
      </c>
      <c r="BF73" s="560" t="str">
        <f t="shared" si="31"/>
        <v/>
      </c>
      <c r="BG73" s="597"/>
      <c r="BH73" s="593" t="str">
        <f t="shared" si="18"/>
        <v/>
      </c>
      <c r="BI73" s="616" t="str">
        <f>IF(BH73="Ⅱロ有り",ROUNDDOWN(L73*VLOOKUP(K73,【参考】数式用!$A$4:$J$42,10,FALSE)*AA73,0),"")</f>
        <v/>
      </c>
      <c r="BJ73" s="616" t="str">
        <f>IF(BH73="Ⅱロなし",ROUNDDOWN(L73*VLOOKUP(K73,【参考】数式用!$A$4:$J$42,8,FALSE)*AA73,0),"")</f>
        <v/>
      </c>
    </row>
    <row r="74" spans="1:62" ht="109.9" customHeight="1" thickBot="1">
      <c r="A74" s="303">
        <v>61</v>
      </c>
      <c r="B74" s="956" t="str">
        <f>IF(基本情報入力シート!B96="","",基本情報入力シート!B96)</f>
        <v/>
      </c>
      <c r="C74" s="957"/>
      <c r="D74" s="957"/>
      <c r="E74" s="957"/>
      <c r="F74" s="958"/>
      <c r="G74" s="304" t="str">
        <f>IF(基本情報入力シート!L96="", "", 基本情報入力シート!L96)</f>
        <v/>
      </c>
      <c r="H74" s="304" t="str">
        <f>IF(基本情報入力シート!Q96="", "", 基本情報入力シート!Q96)</f>
        <v/>
      </c>
      <c r="I74" s="304" t="str">
        <f>IF(基本情報入力シート!V96="", "", 基本情報入力シート!V96)</f>
        <v/>
      </c>
      <c r="J74" s="304" t="str">
        <f>IF(基本情報入力シート!W96="", "", 基本情報入力シート!W96)</f>
        <v/>
      </c>
      <c r="K74" s="304" t="str">
        <f>IF(基本情報入力シート!Z96="", "", 基本情報入力シート!Z96)</f>
        <v/>
      </c>
      <c r="L74" s="558" t="str">
        <f>IF(基本情報入力シート!AF96=0, "",基本情報入力シート!AF96)</f>
        <v/>
      </c>
      <c r="M74" s="588"/>
      <c r="N74" s="522" t="str">
        <f>IFERROR(VLOOKUP(K74,【参考】数式用!$A$2:$F$57,MATCH(M74,【参考】数式用!$C$3:$F$3,0)+2,0),"")</f>
        <v/>
      </c>
      <c r="O74" s="511"/>
      <c r="P74" s="555" t="str">
        <f>IFERROR(VLOOKUP(K74,【参考】数式用!$A$2:$F$57,MATCH(O74,【参考】数式用!$C$3:$F$3,0)+2,0),"")</f>
        <v/>
      </c>
      <c r="Q74" s="310" t="s">
        <v>118</v>
      </c>
      <c r="R74" s="308"/>
      <c r="S74" s="309" t="s">
        <v>183</v>
      </c>
      <c r="T74" s="308"/>
      <c r="U74" s="309" t="s">
        <v>184</v>
      </c>
      <c r="V74" s="308"/>
      <c r="W74" s="309" t="s">
        <v>183</v>
      </c>
      <c r="X74" s="308"/>
      <c r="Y74" s="309" t="s">
        <v>185</v>
      </c>
      <c r="Z74" s="309" t="s">
        <v>186</v>
      </c>
      <c r="AA74" s="309" t="str">
        <f t="shared" si="21"/>
        <v/>
      </c>
      <c r="AB74" s="305" t="s">
        <v>187</v>
      </c>
      <c r="AC74" s="306" t="str">
        <f t="shared" si="10"/>
        <v/>
      </c>
      <c r="AD74" s="515" t="str">
        <f t="shared" si="11"/>
        <v/>
      </c>
      <c r="AE74" s="307" t="str">
        <f>IFERROR(ROUNDDOWN(ROUNDDOWN(ROUND(L74*VLOOKUP(K74,【参考】数式用!$A$4:$F$57,MATCH("処遇改善加算Ⅳ",【参考】数式用!$C$3:$F$3,0)+2,0),0),0)*AA74*0.5,0), "")</f>
        <v/>
      </c>
      <c r="AF74" s="318"/>
      <c r="AG74" s="319"/>
      <c r="AH74" s="319"/>
      <c r="AI74" s="318"/>
      <c r="AJ74" s="320"/>
      <c r="AK74" s="326"/>
      <c r="AL74" s="324" t="str">
        <f t="shared" si="22"/>
        <v/>
      </c>
      <c r="AM74" s="325" t="str">
        <f t="shared" si="20"/>
        <v/>
      </c>
      <c r="AN74" s="255"/>
      <c r="AO74" s="557" t="str">
        <f>IFERROR(VLOOKUP(K74,【参考】数式用!$A$2:$N$57,14,FALSE),"")</f>
        <v/>
      </c>
      <c r="AP74" s="557" t="str">
        <f t="shared" si="23"/>
        <v/>
      </c>
      <c r="AQ74" s="561" t="str">
        <f t="shared" si="24"/>
        <v/>
      </c>
      <c r="AR74" s="540" t="str">
        <f t="shared" si="25"/>
        <v>入力済</v>
      </c>
      <c r="AS74" s="578" t="str">
        <f t="shared" si="12"/>
        <v/>
      </c>
      <c r="AT74" s="540" t="str">
        <f t="shared" si="26"/>
        <v>入力済</v>
      </c>
      <c r="AU74" s="540" t="str">
        <f t="shared" si="32"/>
        <v/>
      </c>
      <c r="AV74" s="540" t="str">
        <f t="shared" si="27"/>
        <v/>
      </c>
      <c r="AW74" s="557" t="str">
        <f t="shared" si="28"/>
        <v/>
      </c>
      <c r="AX74" s="578" t="str">
        <f t="shared" si="14"/>
        <v/>
      </c>
      <c r="AY74" s="540" t="str">
        <f>IFERROR(VLOOKUP(K74,【参考】数式用!$AR$5:$AS$39,2, FALSE), "")</f>
        <v/>
      </c>
      <c r="AZ74" s="557" t="str">
        <f t="shared" si="15"/>
        <v/>
      </c>
      <c r="BA74" s="560" t="str">
        <f t="shared" si="29"/>
        <v>入力済</v>
      </c>
      <c r="BB74" s="540" t="str">
        <f>IFERROR(VLOOKUP(K74,【参考】数式用!$AX$3:$AY$59, 2, FALSE), "")</f>
        <v/>
      </c>
      <c r="BC74" s="578" t="str">
        <f t="shared" si="16"/>
        <v/>
      </c>
      <c r="BD74" s="560" t="str">
        <f t="shared" si="30"/>
        <v>入力済</v>
      </c>
      <c r="BE74" s="577" t="str">
        <f t="shared" si="17"/>
        <v/>
      </c>
      <c r="BF74" s="560" t="str">
        <f t="shared" si="31"/>
        <v/>
      </c>
      <c r="BG74" s="597"/>
      <c r="BH74" s="593" t="str">
        <f t="shared" si="18"/>
        <v/>
      </c>
      <c r="BI74" s="616" t="str">
        <f>IF(BH74="Ⅱロ有り",ROUNDDOWN(L74*VLOOKUP(K74,【参考】数式用!$A$4:$J$42,10,FALSE)*AA74,0),"")</f>
        <v/>
      </c>
      <c r="BJ74" s="616" t="str">
        <f>IF(BH74="Ⅱロなし",ROUNDDOWN(L74*VLOOKUP(K74,【参考】数式用!$A$4:$J$42,8,FALSE)*AA74,0),"")</f>
        <v/>
      </c>
    </row>
    <row r="75" spans="1:62" ht="109.9" customHeight="1" thickBot="1">
      <c r="A75" s="303">
        <v>62</v>
      </c>
      <c r="B75" s="956" t="str">
        <f>IF(基本情報入力シート!B97="","",基本情報入力シート!B97)</f>
        <v/>
      </c>
      <c r="C75" s="957"/>
      <c r="D75" s="957"/>
      <c r="E75" s="957"/>
      <c r="F75" s="958"/>
      <c r="G75" s="304" t="str">
        <f>IF(基本情報入力シート!L97="", "", 基本情報入力シート!L97)</f>
        <v/>
      </c>
      <c r="H75" s="304" t="str">
        <f>IF(基本情報入力シート!Q97="", "", 基本情報入力シート!Q97)</f>
        <v/>
      </c>
      <c r="I75" s="304" t="str">
        <f>IF(基本情報入力シート!V97="", "", 基本情報入力シート!V97)</f>
        <v/>
      </c>
      <c r="J75" s="304" t="str">
        <f>IF(基本情報入力シート!W97="", "", 基本情報入力シート!W97)</f>
        <v/>
      </c>
      <c r="K75" s="304" t="str">
        <f>IF(基本情報入力シート!Z97="", "", 基本情報入力シート!Z97)</f>
        <v/>
      </c>
      <c r="L75" s="558" t="str">
        <f>IF(基本情報入力シート!AF97=0, "",基本情報入力シート!AF97)</f>
        <v/>
      </c>
      <c r="M75" s="588"/>
      <c r="N75" s="522" t="str">
        <f>IFERROR(VLOOKUP(K75,【参考】数式用!$A$2:$F$57,MATCH(M75,【参考】数式用!$C$3:$F$3,0)+2,0),"")</f>
        <v/>
      </c>
      <c r="O75" s="511"/>
      <c r="P75" s="555" t="str">
        <f>IFERROR(VLOOKUP(K75,【参考】数式用!$A$2:$F$57,MATCH(O75,【参考】数式用!$C$3:$F$3,0)+2,0),"")</f>
        <v/>
      </c>
      <c r="Q75" s="310" t="s">
        <v>118</v>
      </c>
      <c r="R75" s="308"/>
      <c r="S75" s="309" t="s">
        <v>183</v>
      </c>
      <c r="T75" s="308"/>
      <c r="U75" s="309" t="s">
        <v>184</v>
      </c>
      <c r="V75" s="308"/>
      <c r="W75" s="309" t="s">
        <v>183</v>
      </c>
      <c r="X75" s="308"/>
      <c r="Y75" s="309" t="s">
        <v>185</v>
      </c>
      <c r="Z75" s="309" t="s">
        <v>186</v>
      </c>
      <c r="AA75" s="309" t="str">
        <f t="shared" si="21"/>
        <v/>
      </c>
      <c r="AB75" s="305" t="s">
        <v>187</v>
      </c>
      <c r="AC75" s="306" t="str">
        <f t="shared" si="10"/>
        <v/>
      </c>
      <c r="AD75" s="515" t="str">
        <f t="shared" si="11"/>
        <v/>
      </c>
      <c r="AE75" s="307" t="str">
        <f>IFERROR(ROUNDDOWN(ROUNDDOWN(ROUND(L75*VLOOKUP(K75,【参考】数式用!$A$4:$F$57,MATCH("処遇改善加算Ⅳ",【参考】数式用!$C$3:$F$3,0)+2,0),0),0)*AA75*0.5,0), "")</f>
        <v/>
      </c>
      <c r="AF75" s="318"/>
      <c r="AG75" s="319"/>
      <c r="AH75" s="319"/>
      <c r="AI75" s="318"/>
      <c r="AJ75" s="320"/>
      <c r="AK75" s="326"/>
      <c r="AL75" s="324" t="str">
        <f t="shared" si="22"/>
        <v/>
      </c>
      <c r="AM75" s="325" t="str">
        <f t="shared" si="20"/>
        <v/>
      </c>
      <c r="AN75" s="255"/>
      <c r="AO75" s="557" t="str">
        <f>IFERROR(VLOOKUP(K75,【参考】数式用!$A$2:$N$57,14,FALSE),"")</f>
        <v/>
      </c>
      <c r="AP75" s="557" t="str">
        <f t="shared" si="23"/>
        <v/>
      </c>
      <c r="AQ75" s="561" t="str">
        <f t="shared" si="24"/>
        <v/>
      </c>
      <c r="AR75" s="540" t="str">
        <f t="shared" si="25"/>
        <v>入力済</v>
      </c>
      <c r="AS75" s="578" t="str">
        <f t="shared" si="12"/>
        <v/>
      </c>
      <c r="AT75" s="540" t="str">
        <f t="shared" si="26"/>
        <v>入力済</v>
      </c>
      <c r="AU75" s="540" t="str">
        <f t="shared" si="32"/>
        <v/>
      </c>
      <c r="AV75" s="540" t="str">
        <f t="shared" si="27"/>
        <v/>
      </c>
      <c r="AW75" s="557" t="str">
        <f t="shared" si="28"/>
        <v/>
      </c>
      <c r="AX75" s="578" t="str">
        <f t="shared" si="14"/>
        <v/>
      </c>
      <c r="AY75" s="540" t="str">
        <f>IFERROR(VLOOKUP(K75,【参考】数式用!$AR$5:$AS$39,2, FALSE), "")</f>
        <v/>
      </c>
      <c r="AZ75" s="557" t="str">
        <f t="shared" si="15"/>
        <v/>
      </c>
      <c r="BA75" s="560" t="str">
        <f t="shared" si="29"/>
        <v>入力済</v>
      </c>
      <c r="BB75" s="540" t="str">
        <f>IFERROR(VLOOKUP(K75,【参考】数式用!$AX$3:$AY$59, 2, FALSE), "")</f>
        <v/>
      </c>
      <c r="BC75" s="578" t="str">
        <f t="shared" si="16"/>
        <v/>
      </c>
      <c r="BD75" s="560" t="str">
        <f t="shared" si="30"/>
        <v>入力済</v>
      </c>
      <c r="BE75" s="577" t="str">
        <f t="shared" si="17"/>
        <v/>
      </c>
      <c r="BF75" s="560" t="str">
        <f t="shared" si="31"/>
        <v/>
      </c>
      <c r="BG75" s="597"/>
      <c r="BH75" s="593" t="str">
        <f t="shared" si="18"/>
        <v/>
      </c>
      <c r="BI75" s="616" t="str">
        <f>IF(BH75="Ⅱロ有り",ROUNDDOWN(L75*VLOOKUP(K75,【参考】数式用!$A$4:$J$42,10,FALSE)*AA75,0),"")</f>
        <v/>
      </c>
      <c r="BJ75" s="616" t="str">
        <f>IF(BH75="Ⅱロなし",ROUNDDOWN(L75*VLOOKUP(K75,【参考】数式用!$A$4:$J$42,8,FALSE)*AA75,0),"")</f>
        <v/>
      </c>
    </row>
    <row r="76" spans="1:62" ht="109.9" customHeight="1" thickBot="1">
      <c r="A76" s="303">
        <v>63</v>
      </c>
      <c r="B76" s="956" t="str">
        <f>IF(基本情報入力シート!B98="","",基本情報入力シート!B98)</f>
        <v/>
      </c>
      <c r="C76" s="957"/>
      <c r="D76" s="957"/>
      <c r="E76" s="957"/>
      <c r="F76" s="958"/>
      <c r="G76" s="304" t="str">
        <f>IF(基本情報入力シート!L98="", "", 基本情報入力シート!L98)</f>
        <v/>
      </c>
      <c r="H76" s="304" t="str">
        <f>IF(基本情報入力シート!Q98="", "", 基本情報入力シート!Q98)</f>
        <v/>
      </c>
      <c r="I76" s="304" t="str">
        <f>IF(基本情報入力シート!V98="", "", 基本情報入力シート!V98)</f>
        <v/>
      </c>
      <c r="J76" s="304" t="str">
        <f>IF(基本情報入力シート!W98="", "", 基本情報入力シート!W98)</f>
        <v/>
      </c>
      <c r="K76" s="304" t="str">
        <f>IF(基本情報入力シート!Z98="", "", 基本情報入力シート!Z98)</f>
        <v/>
      </c>
      <c r="L76" s="558" t="str">
        <f>IF(基本情報入力シート!AF98=0, "",基本情報入力シート!AF98)</f>
        <v/>
      </c>
      <c r="M76" s="588"/>
      <c r="N76" s="522" t="str">
        <f>IFERROR(VLOOKUP(K76,【参考】数式用!$A$2:$F$57,MATCH(M76,【参考】数式用!$C$3:$F$3,0)+2,0),"")</f>
        <v/>
      </c>
      <c r="O76" s="511"/>
      <c r="P76" s="555" t="str">
        <f>IFERROR(VLOOKUP(K76,【参考】数式用!$A$2:$F$57,MATCH(O76,【参考】数式用!$C$3:$F$3,0)+2,0),"")</f>
        <v/>
      </c>
      <c r="Q76" s="310" t="s">
        <v>118</v>
      </c>
      <c r="R76" s="308"/>
      <c r="S76" s="309" t="s">
        <v>183</v>
      </c>
      <c r="T76" s="308"/>
      <c r="U76" s="309" t="s">
        <v>184</v>
      </c>
      <c r="V76" s="308"/>
      <c r="W76" s="309" t="s">
        <v>183</v>
      </c>
      <c r="X76" s="308"/>
      <c r="Y76" s="309" t="s">
        <v>185</v>
      </c>
      <c r="Z76" s="309" t="s">
        <v>186</v>
      </c>
      <c r="AA76" s="309" t="str">
        <f t="shared" si="21"/>
        <v/>
      </c>
      <c r="AB76" s="305" t="s">
        <v>187</v>
      </c>
      <c r="AC76" s="306" t="str">
        <f t="shared" si="10"/>
        <v/>
      </c>
      <c r="AD76" s="515" t="str">
        <f t="shared" si="11"/>
        <v/>
      </c>
      <c r="AE76" s="307" t="str">
        <f>IFERROR(ROUNDDOWN(ROUNDDOWN(ROUND(L76*VLOOKUP(K76,【参考】数式用!$A$4:$F$57,MATCH("処遇改善加算Ⅳ",【参考】数式用!$C$3:$F$3,0)+2,0),0),0)*AA76*0.5,0), "")</f>
        <v/>
      </c>
      <c r="AF76" s="318"/>
      <c r="AG76" s="319"/>
      <c r="AH76" s="319"/>
      <c r="AI76" s="318"/>
      <c r="AJ76" s="320"/>
      <c r="AK76" s="326"/>
      <c r="AL76" s="324" t="str">
        <f t="shared" si="22"/>
        <v/>
      </c>
      <c r="AM76" s="325" t="str">
        <f t="shared" si="20"/>
        <v/>
      </c>
      <c r="AN76" s="255"/>
      <c r="AO76" s="557" t="str">
        <f>IFERROR(VLOOKUP(K76,【参考】数式用!$A$2:$N$57,14,FALSE),"")</f>
        <v/>
      </c>
      <c r="AP76" s="557" t="str">
        <f t="shared" si="23"/>
        <v/>
      </c>
      <c r="AQ76" s="561" t="str">
        <f t="shared" si="24"/>
        <v/>
      </c>
      <c r="AR76" s="540" t="str">
        <f t="shared" si="25"/>
        <v>入力済</v>
      </c>
      <c r="AS76" s="578" t="str">
        <f t="shared" si="12"/>
        <v/>
      </c>
      <c r="AT76" s="540" t="str">
        <f t="shared" si="26"/>
        <v>入力済</v>
      </c>
      <c r="AU76" s="540" t="str">
        <f t="shared" si="32"/>
        <v/>
      </c>
      <c r="AV76" s="540" t="str">
        <f t="shared" si="27"/>
        <v/>
      </c>
      <c r="AW76" s="557" t="str">
        <f t="shared" si="28"/>
        <v/>
      </c>
      <c r="AX76" s="578" t="str">
        <f t="shared" si="14"/>
        <v/>
      </c>
      <c r="AY76" s="540" t="str">
        <f>IFERROR(VLOOKUP(K76,【参考】数式用!$AR$5:$AS$39,2, FALSE), "")</f>
        <v/>
      </c>
      <c r="AZ76" s="557" t="str">
        <f t="shared" si="15"/>
        <v/>
      </c>
      <c r="BA76" s="560" t="str">
        <f t="shared" si="29"/>
        <v>入力済</v>
      </c>
      <c r="BB76" s="540" t="str">
        <f>IFERROR(VLOOKUP(K76,【参考】数式用!$AX$3:$AY$59, 2, FALSE), "")</f>
        <v/>
      </c>
      <c r="BC76" s="578" t="str">
        <f t="shared" si="16"/>
        <v/>
      </c>
      <c r="BD76" s="560" t="str">
        <f t="shared" si="30"/>
        <v>入力済</v>
      </c>
      <c r="BE76" s="577" t="str">
        <f t="shared" si="17"/>
        <v/>
      </c>
      <c r="BF76" s="560" t="str">
        <f t="shared" si="31"/>
        <v/>
      </c>
      <c r="BG76" s="597"/>
      <c r="BH76" s="593" t="str">
        <f t="shared" si="18"/>
        <v/>
      </c>
      <c r="BI76" s="616" t="str">
        <f>IF(BH76="Ⅱロ有り",ROUNDDOWN(L76*VLOOKUP(K76,【参考】数式用!$A$4:$J$42,10,FALSE)*AA76,0),"")</f>
        <v/>
      </c>
      <c r="BJ76" s="616" t="str">
        <f>IF(BH76="Ⅱロなし",ROUNDDOWN(L76*VLOOKUP(K76,【参考】数式用!$A$4:$J$42,8,FALSE)*AA76,0),"")</f>
        <v/>
      </c>
    </row>
    <row r="77" spans="1:62" ht="109.9" customHeight="1" thickBot="1">
      <c r="A77" s="303">
        <v>64</v>
      </c>
      <c r="B77" s="956" t="str">
        <f>IF(基本情報入力シート!B99="","",基本情報入力シート!B99)</f>
        <v/>
      </c>
      <c r="C77" s="957"/>
      <c r="D77" s="957"/>
      <c r="E77" s="957"/>
      <c r="F77" s="958"/>
      <c r="G77" s="304" t="str">
        <f>IF(基本情報入力シート!L99="", "", 基本情報入力シート!L99)</f>
        <v/>
      </c>
      <c r="H77" s="304" t="str">
        <f>IF(基本情報入力シート!Q99="", "", 基本情報入力シート!Q99)</f>
        <v/>
      </c>
      <c r="I77" s="304" t="str">
        <f>IF(基本情報入力シート!V99="", "", 基本情報入力シート!V99)</f>
        <v/>
      </c>
      <c r="J77" s="304" t="str">
        <f>IF(基本情報入力シート!W99="", "", 基本情報入力シート!W99)</f>
        <v/>
      </c>
      <c r="K77" s="304" t="str">
        <f>IF(基本情報入力シート!Z99="", "", 基本情報入力シート!Z99)</f>
        <v/>
      </c>
      <c r="L77" s="558" t="str">
        <f>IF(基本情報入力シート!AF99=0, "",基本情報入力シート!AF99)</f>
        <v/>
      </c>
      <c r="M77" s="588"/>
      <c r="N77" s="522" t="str">
        <f>IFERROR(VLOOKUP(K77,【参考】数式用!$A$2:$F$57,MATCH(M77,【参考】数式用!$C$3:$F$3,0)+2,0),"")</f>
        <v/>
      </c>
      <c r="O77" s="511"/>
      <c r="P77" s="555" t="str">
        <f>IFERROR(VLOOKUP(K77,【参考】数式用!$A$2:$F$57,MATCH(O77,【参考】数式用!$C$3:$F$3,0)+2,0),"")</f>
        <v/>
      </c>
      <c r="Q77" s="310" t="s">
        <v>118</v>
      </c>
      <c r="R77" s="308"/>
      <c r="S77" s="309" t="s">
        <v>183</v>
      </c>
      <c r="T77" s="308"/>
      <c r="U77" s="309" t="s">
        <v>184</v>
      </c>
      <c r="V77" s="308"/>
      <c r="W77" s="309" t="s">
        <v>183</v>
      </c>
      <c r="X77" s="308"/>
      <c r="Y77" s="309" t="s">
        <v>185</v>
      </c>
      <c r="Z77" s="309" t="s">
        <v>186</v>
      </c>
      <c r="AA77" s="309" t="str">
        <f t="shared" si="21"/>
        <v/>
      </c>
      <c r="AB77" s="305" t="s">
        <v>187</v>
      </c>
      <c r="AC77" s="306" t="str">
        <f t="shared" si="10"/>
        <v/>
      </c>
      <c r="AD77" s="515" t="str">
        <f t="shared" si="11"/>
        <v/>
      </c>
      <c r="AE77" s="307" t="str">
        <f>IFERROR(ROUNDDOWN(ROUNDDOWN(ROUND(L77*VLOOKUP(K77,【参考】数式用!$A$4:$F$57,MATCH("処遇改善加算Ⅳ",【参考】数式用!$C$3:$F$3,0)+2,0),0),0)*AA77*0.5,0), "")</f>
        <v/>
      </c>
      <c r="AF77" s="318"/>
      <c r="AG77" s="319"/>
      <c r="AH77" s="319"/>
      <c r="AI77" s="318"/>
      <c r="AJ77" s="320"/>
      <c r="AK77" s="326"/>
      <c r="AL77" s="324" t="str">
        <f t="shared" ref="AL77:AL113" si="33">IF(AND(O77&lt;&gt;"", OR(V77&lt;&gt;8,X77&lt;&gt;5)),"！算定期間の終わりが令和８年５月になっていません。令和８年６月以降については別シートに記載してください。",
 IF(AND(AO77="加算対象外",O77&lt;&gt;""),"このサービスは、令和８年４月・５月は処遇改善加算の対象ではありません。記入しないでください。",""))</f>
        <v/>
      </c>
      <c r="AM77" s="325" t="str">
        <f t="shared" si="20"/>
        <v/>
      </c>
      <c r="AN77" s="255"/>
      <c r="AO77" s="557" t="str">
        <f>IFERROR(VLOOKUP(K77,【参考】数式用!$A$2:$N$57,14,FALSE),"")</f>
        <v/>
      </c>
      <c r="AP77" s="557" t="str">
        <f t="shared" ref="AP77:AP108" si="34">IF(AND(K77&lt;&gt;"",AO77="加算対象"),"N列に色付け","")</f>
        <v/>
      </c>
      <c r="AQ77" s="561" t="str">
        <f t="shared" ref="AQ77:AQ113" si="35">IF(AND(AE77&lt;&gt;0,AE77&lt;&gt;"",AO77="加算対象"),IF(AF77="○","入力済","未入力"),"")</f>
        <v/>
      </c>
      <c r="AR77" s="540" t="str">
        <f t="shared" ref="AR77:AR113" si="36">IF(AND(O77&lt;&gt;"", AG77="",AO77="加算対象"), "未入力", "入力済")</f>
        <v>入力済</v>
      </c>
      <c r="AS77" s="578" t="str">
        <f t="shared" si="12"/>
        <v/>
      </c>
      <c r="AT77" s="540" t="str">
        <f t="shared" ref="AT77:AT113" si="37">IF(AND(O77&lt;&gt;"", O77&lt;&gt;"処遇改善加算Ⅳ", AH77=""), "未入力", "入力済")</f>
        <v>入力済</v>
      </c>
      <c r="AU77" s="540" t="str">
        <f t="shared" si="32"/>
        <v/>
      </c>
      <c r="AV77" s="540" t="str">
        <f t="shared" ref="AV77:AV108" si="38">IF(AND(AO77="加算対象",O77&lt;&gt;"処遇改善加算Ⅲ",O77&lt;&gt;"処遇改善加算Ⅳ", O77&lt;&gt;"", AU77&lt;&gt;"対象外"), 1,"")</f>
        <v/>
      </c>
      <c r="AW77" s="557" t="str">
        <f t="shared" ref="AW77:AW108" si="39">IF(AND(AV77=1, OR(AI77=0,AI77=""),AO77="加算対象"),"AH列に色付け","")</f>
        <v/>
      </c>
      <c r="AX77" s="578" t="str">
        <f t="shared" si="14"/>
        <v/>
      </c>
      <c r="AY77" s="540" t="str">
        <f>IFERROR(VLOOKUP(K77,【参考】数式用!$AR$5:$AS$39,2, FALSE), "")</f>
        <v/>
      </c>
      <c r="AZ77" s="557" t="str">
        <f t="shared" si="15"/>
        <v/>
      </c>
      <c r="BA77" s="560" t="str">
        <f t="shared" ref="BA77:BA113" si="40">IF(AND(O77="処遇改善加算Ⅰ", AJ77=""), "未入力","入力済")</f>
        <v>入力済</v>
      </c>
      <c r="BB77" s="540" t="str">
        <f>IFERROR(VLOOKUP(K77,【参考】数式用!$AX$3:$AY$59, 2, FALSE), "")</f>
        <v/>
      </c>
      <c r="BC77" s="578" t="str">
        <f t="shared" si="16"/>
        <v/>
      </c>
      <c r="BD77" s="560" t="str">
        <f t="shared" ref="BD77:BD113" si="41">IF(AND(COUNTIF(AG77:AI77,"*令和８年度特例要件を*")&gt;0,AK77=""), "未入力","入力済")</f>
        <v>入力済</v>
      </c>
      <c r="BE77" s="577" t="str">
        <f t="shared" si="17"/>
        <v/>
      </c>
      <c r="BF77" s="560" t="str">
        <f t="shared" ref="BF77:BF113" si="42">G77</f>
        <v/>
      </c>
      <c r="BG77" s="597"/>
      <c r="BH77" s="593" t="str">
        <f t="shared" si="18"/>
        <v/>
      </c>
      <c r="BI77" s="616" t="str">
        <f>IF(BH77="Ⅱロ有り",ROUNDDOWN(L77*VLOOKUP(K77,【参考】数式用!$A$4:$J$42,10,FALSE)*AA77,0),"")</f>
        <v/>
      </c>
      <c r="BJ77" s="616" t="str">
        <f>IF(BH77="Ⅱロなし",ROUNDDOWN(L77*VLOOKUP(K77,【参考】数式用!$A$4:$J$42,8,FALSE)*AA77,0),"")</f>
        <v/>
      </c>
    </row>
    <row r="78" spans="1:62" ht="109.9" customHeight="1" thickBot="1">
      <c r="A78" s="303">
        <v>65</v>
      </c>
      <c r="B78" s="956" t="str">
        <f>IF(基本情報入力シート!B100="","",基本情報入力シート!B100)</f>
        <v/>
      </c>
      <c r="C78" s="957"/>
      <c r="D78" s="957"/>
      <c r="E78" s="957"/>
      <c r="F78" s="958"/>
      <c r="G78" s="304" t="str">
        <f>IF(基本情報入力シート!L100="", "", 基本情報入力シート!L100)</f>
        <v/>
      </c>
      <c r="H78" s="304" t="str">
        <f>IF(基本情報入力シート!Q100="", "", 基本情報入力シート!Q100)</f>
        <v/>
      </c>
      <c r="I78" s="304" t="str">
        <f>IF(基本情報入力シート!V100="", "", 基本情報入力シート!V100)</f>
        <v/>
      </c>
      <c r="J78" s="304" t="str">
        <f>IF(基本情報入力シート!W100="", "", 基本情報入力シート!W100)</f>
        <v/>
      </c>
      <c r="K78" s="304" t="str">
        <f>IF(基本情報入力シート!Z100="", "", 基本情報入力シート!Z100)</f>
        <v/>
      </c>
      <c r="L78" s="558" t="str">
        <f>IF(基本情報入力シート!AF100=0, "",基本情報入力シート!AF100)</f>
        <v/>
      </c>
      <c r="M78" s="588"/>
      <c r="N78" s="522" t="str">
        <f>IFERROR(VLOOKUP(K78,【参考】数式用!$A$2:$F$57,MATCH(M78,【参考】数式用!$C$3:$F$3,0)+2,0),"")</f>
        <v/>
      </c>
      <c r="O78" s="511"/>
      <c r="P78" s="555" t="str">
        <f>IFERROR(VLOOKUP(K78,【参考】数式用!$A$2:$F$57,MATCH(O78,【参考】数式用!$C$3:$F$3,0)+2,0),"")</f>
        <v/>
      </c>
      <c r="Q78" s="310" t="s">
        <v>118</v>
      </c>
      <c r="R78" s="308"/>
      <c r="S78" s="309" t="s">
        <v>183</v>
      </c>
      <c r="T78" s="308"/>
      <c r="U78" s="309" t="s">
        <v>184</v>
      </c>
      <c r="V78" s="308"/>
      <c r="W78" s="309" t="s">
        <v>183</v>
      </c>
      <c r="X78" s="308"/>
      <c r="Y78" s="309" t="s">
        <v>185</v>
      </c>
      <c r="Z78" s="309" t="s">
        <v>186</v>
      </c>
      <c r="AA78" s="309" t="str">
        <f t="shared" si="21"/>
        <v/>
      </c>
      <c r="AB78" s="305" t="s">
        <v>187</v>
      </c>
      <c r="AC78" s="306" t="str">
        <f t="shared" ref="AC78:AC113" si="43">IFERROR(ROUNDDOWN(ROUND(L78*P78,0),0)*AA78,"")</f>
        <v/>
      </c>
      <c r="AD78" s="515" t="str">
        <f t="shared" ref="AD78:AD113" si="44">IFERROR(ROUNDDOWN(ROUND(L78*(P78-N78),0),0)*AA78,"")</f>
        <v/>
      </c>
      <c r="AE78" s="307" t="str">
        <f>IFERROR(ROUNDDOWN(ROUNDDOWN(ROUND(L78*VLOOKUP(K78,【参考】数式用!$A$4:$F$57,MATCH("処遇改善加算Ⅳ",【参考】数式用!$C$3:$F$3,0)+2,0),0),0)*AA78*0.5,0), "")</f>
        <v/>
      </c>
      <c r="AF78" s="318"/>
      <c r="AG78" s="319"/>
      <c r="AH78" s="319"/>
      <c r="AI78" s="318"/>
      <c r="AJ78" s="320"/>
      <c r="AK78" s="326"/>
      <c r="AL78" s="324" t="str">
        <f t="shared" si="33"/>
        <v/>
      </c>
      <c r="AM78" s="325" t="str">
        <f t="shared" si="20"/>
        <v/>
      </c>
      <c r="AN78" s="255"/>
      <c r="AO78" s="557" t="str">
        <f>IFERROR(VLOOKUP(K78,【参考】数式用!$A$2:$N$57,14,FALSE),"")</f>
        <v/>
      </c>
      <c r="AP78" s="557" t="str">
        <f t="shared" si="34"/>
        <v/>
      </c>
      <c r="AQ78" s="561" t="str">
        <f t="shared" si="35"/>
        <v/>
      </c>
      <c r="AR78" s="540" t="str">
        <f t="shared" si="36"/>
        <v>入力済</v>
      </c>
      <c r="AS78" s="578" t="str">
        <f t="shared" ref="AS78:AS113" si="45">IF(AND(O78&lt;&gt;"", O78&lt;&gt;"処遇改善加算Ⅳ",AO78="加算対象"),"AH列に色付け","")</f>
        <v/>
      </c>
      <c r="AT78" s="540" t="str">
        <f t="shared" si="37"/>
        <v>入力済</v>
      </c>
      <c r="AU78" s="540" t="str">
        <f t="shared" ref="AU78:AU113" si="46">IF(OR(O78="処遇改善加算Ⅰ",O78="処遇改善加算Ⅱ"),"対象","")</f>
        <v/>
      </c>
      <c r="AV78" s="540" t="str">
        <f t="shared" si="38"/>
        <v/>
      </c>
      <c r="AW78" s="557" t="str">
        <f t="shared" si="39"/>
        <v/>
      </c>
      <c r="AX78" s="578" t="str">
        <f t="shared" ref="AX78:AX113" si="47">IF(AND(O78&lt;&gt;"", O78&lt;&gt;"処遇改善加算Ⅲ", O78&lt;&gt;"処遇改善加算Ⅳ",O78&lt;&gt;"処遇改善加算"), "対象", "")</f>
        <v/>
      </c>
      <c r="AY78" s="540" t="str">
        <f>IFERROR(VLOOKUP(K78,【参考】数式用!$AR$5:$AS$39,2, FALSE), "")</f>
        <v/>
      </c>
      <c r="AZ78" s="557" t="str">
        <f t="shared" ref="AZ78:AZ113" si="48">IF(AND(AO78="加算対象",O78="処遇改善加算Ⅰ"),"AJ列に色付け","")</f>
        <v/>
      </c>
      <c r="BA78" s="560" t="str">
        <f t="shared" si="40"/>
        <v>入力済</v>
      </c>
      <c r="BB78" s="540" t="str">
        <f>IFERROR(VLOOKUP(K78,【参考】数式用!$AX$3:$AY$59, 2, FALSE), "")</f>
        <v/>
      </c>
      <c r="BC78" s="578" t="str">
        <f t="shared" ref="BC78:BC113" si="49">IF(COUNTIF(AG78:AI78,"*令和８年度特例要件を*")&gt;0,"AK列に色付け","")</f>
        <v/>
      </c>
      <c r="BD78" s="560" t="str">
        <f t="shared" si="41"/>
        <v>入力済</v>
      </c>
      <c r="BE78" s="577" t="str">
        <f t="shared" ref="BE78:BE113" si="50">IF(BC78="AK列に色付け","入力必要","")</f>
        <v/>
      </c>
      <c r="BF78" s="560" t="str">
        <f t="shared" si="42"/>
        <v/>
      </c>
      <c r="BG78" s="597"/>
      <c r="BH78" s="593" t="str">
        <f t="shared" ref="BH78:BH113" si="51">IF(BC78="AK列に色付け",IF(OR(K78="重度障害者等包括支援",K78="施設入所支援",K78="短期入所",K78="就労定着支援",K78="居宅訪問型児童発達支援",K78="保育所等訪問支援",K78="障害者支援施設：生活介護",K78="障害者支援施設：自立訓練（機能訓練）",K78="障害者支援施設：自立訓練（生活訓練）",K78="障害者支援施設：就労移行支援",K78="障害者支援施設：就労継続支援Ａ型",K78="障害者支援施設：就労継続支援Ｂ型"),"Ⅱロなし","Ⅱロ有り"),"")</f>
        <v/>
      </c>
      <c r="BI78" s="616" t="str">
        <f>IF(BH78="Ⅱロ有り",ROUNDDOWN(L78*VLOOKUP(K78,【参考】数式用!$A$4:$J$42,10,FALSE)*AA78,0),"")</f>
        <v/>
      </c>
      <c r="BJ78" s="616" t="str">
        <f>IF(BH78="Ⅱロなし",ROUNDDOWN(L78*VLOOKUP(K78,【参考】数式用!$A$4:$J$42,8,FALSE)*AA78,0),"")</f>
        <v/>
      </c>
    </row>
    <row r="79" spans="1:62" ht="109.9" customHeight="1" thickBot="1">
      <c r="A79" s="303">
        <v>66</v>
      </c>
      <c r="B79" s="956" t="str">
        <f>IF(基本情報入力シート!B101="","",基本情報入力シート!B101)</f>
        <v/>
      </c>
      <c r="C79" s="957"/>
      <c r="D79" s="957"/>
      <c r="E79" s="957"/>
      <c r="F79" s="958"/>
      <c r="G79" s="304" t="str">
        <f>IF(基本情報入力シート!L101="", "", 基本情報入力シート!L101)</f>
        <v/>
      </c>
      <c r="H79" s="304" t="str">
        <f>IF(基本情報入力シート!Q101="", "", 基本情報入力シート!Q101)</f>
        <v/>
      </c>
      <c r="I79" s="304" t="str">
        <f>IF(基本情報入力シート!V101="", "", 基本情報入力シート!V101)</f>
        <v/>
      </c>
      <c r="J79" s="304" t="str">
        <f>IF(基本情報入力シート!W101="", "", 基本情報入力シート!W101)</f>
        <v/>
      </c>
      <c r="K79" s="304" t="str">
        <f>IF(基本情報入力シート!Z101="", "", 基本情報入力シート!Z101)</f>
        <v/>
      </c>
      <c r="L79" s="558" t="str">
        <f>IF(基本情報入力シート!AF101=0, "",基本情報入力シート!AF101)</f>
        <v/>
      </c>
      <c r="M79" s="588"/>
      <c r="N79" s="522" t="str">
        <f>IFERROR(VLOOKUP(K79,【参考】数式用!$A$2:$F$57,MATCH(M79,【参考】数式用!$C$3:$F$3,0)+2,0),"")</f>
        <v/>
      </c>
      <c r="O79" s="511"/>
      <c r="P79" s="555" t="str">
        <f>IFERROR(VLOOKUP(K79,【参考】数式用!$A$2:$F$57,MATCH(O79,【参考】数式用!$C$3:$F$3,0)+2,0),"")</f>
        <v/>
      </c>
      <c r="Q79" s="310" t="s">
        <v>118</v>
      </c>
      <c r="R79" s="308"/>
      <c r="S79" s="309" t="s">
        <v>183</v>
      </c>
      <c r="T79" s="308"/>
      <c r="U79" s="309" t="s">
        <v>184</v>
      </c>
      <c r="V79" s="308"/>
      <c r="W79" s="309" t="s">
        <v>183</v>
      </c>
      <c r="X79" s="308"/>
      <c r="Y79" s="309" t="s">
        <v>185</v>
      </c>
      <c r="Z79" s="309" t="s">
        <v>186</v>
      </c>
      <c r="AA79" s="309" t="str">
        <f t="shared" si="21"/>
        <v/>
      </c>
      <c r="AB79" s="305" t="s">
        <v>187</v>
      </c>
      <c r="AC79" s="306" t="str">
        <f t="shared" si="43"/>
        <v/>
      </c>
      <c r="AD79" s="515" t="str">
        <f t="shared" si="44"/>
        <v/>
      </c>
      <c r="AE79" s="307" t="str">
        <f>IFERROR(ROUNDDOWN(ROUNDDOWN(ROUND(L79*VLOOKUP(K79,【参考】数式用!$A$4:$F$57,MATCH("処遇改善加算Ⅳ",【参考】数式用!$C$3:$F$3,0)+2,0),0),0)*AA79*0.5,0), "")</f>
        <v/>
      </c>
      <c r="AF79" s="318"/>
      <c r="AG79" s="319"/>
      <c r="AH79" s="319"/>
      <c r="AI79" s="318"/>
      <c r="AJ79" s="320"/>
      <c r="AK79" s="326"/>
      <c r="AL79" s="324" t="str">
        <f t="shared" si="33"/>
        <v/>
      </c>
      <c r="AM79" s="325" t="str">
        <f t="shared" ref="AM79:AM113" si="52">IF(OR(O79="",AO79="加算対象外"),"",IF(OR(AND(COUNTIF(AQ79,"未入力")&gt;0,AF79=""),AND(COUNTIF(AR79,"未入力")&gt;0,AG79=""),AND(COUNTIF(AO79:BF79,"AH列に色付け")&gt;0,AH79=""),AND(COUNT(AU79,"対象")&gt;0,AI79=""),,AND(COUNTIF(AO79:BF79,"AJ列に色付け")&gt;0,AJ79=""),AND(COUNTIF(AO79:BF79,"AK列に色付け")&gt;0,AK79="")),"！記入が必要な欄（オレンジ色のセル）に空欄があります。空欄を埋めてください。",""))</f>
        <v/>
      </c>
      <c r="AN79" s="255"/>
      <c r="AO79" s="557" t="str">
        <f>IFERROR(VLOOKUP(K79,【参考】数式用!$A$2:$N$57,14,FALSE),"")</f>
        <v/>
      </c>
      <c r="AP79" s="557" t="str">
        <f t="shared" si="34"/>
        <v/>
      </c>
      <c r="AQ79" s="561" t="str">
        <f t="shared" si="35"/>
        <v/>
      </c>
      <c r="AR79" s="540" t="str">
        <f t="shared" si="36"/>
        <v>入力済</v>
      </c>
      <c r="AS79" s="578" t="str">
        <f t="shared" si="45"/>
        <v/>
      </c>
      <c r="AT79" s="540" t="str">
        <f t="shared" si="37"/>
        <v>入力済</v>
      </c>
      <c r="AU79" s="540" t="str">
        <f t="shared" si="46"/>
        <v/>
      </c>
      <c r="AV79" s="540" t="str">
        <f t="shared" si="38"/>
        <v/>
      </c>
      <c r="AW79" s="557" t="str">
        <f t="shared" si="39"/>
        <v/>
      </c>
      <c r="AX79" s="578" t="str">
        <f t="shared" si="47"/>
        <v/>
      </c>
      <c r="AY79" s="540" t="str">
        <f>IFERROR(VLOOKUP(K79,【参考】数式用!$AR$5:$AS$39,2, FALSE), "")</f>
        <v/>
      </c>
      <c r="AZ79" s="557" t="str">
        <f t="shared" si="48"/>
        <v/>
      </c>
      <c r="BA79" s="560" t="str">
        <f t="shared" si="40"/>
        <v>入力済</v>
      </c>
      <c r="BB79" s="540" t="str">
        <f>IFERROR(VLOOKUP(K79,【参考】数式用!$AX$3:$AY$59, 2, FALSE), "")</f>
        <v/>
      </c>
      <c r="BC79" s="578" t="str">
        <f t="shared" si="49"/>
        <v/>
      </c>
      <c r="BD79" s="560" t="str">
        <f t="shared" si="41"/>
        <v>入力済</v>
      </c>
      <c r="BE79" s="577" t="str">
        <f t="shared" si="50"/>
        <v/>
      </c>
      <c r="BF79" s="560" t="str">
        <f t="shared" si="42"/>
        <v/>
      </c>
      <c r="BG79" s="597"/>
      <c r="BH79" s="593" t="str">
        <f t="shared" si="51"/>
        <v/>
      </c>
      <c r="BI79" s="616" t="str">
        <f>IF(BH79="Ⅱロ有り",ROUNDDOWN(L79*VLOOKUP(K79,【参考】数式用!$A$4:$J$42,10,FALSE)*AA79,0),"")</f>
        <v/>
      </c>
      <c r="BJ79" s="616" t="str">
        <f>IF(BH79="Ⅱロなし",ROUNDDOWN(L79*VLOOKUP(K79,【参考】数式用!$A$4:$J$42,8,FALSE)*AA79,0),"")</f>
        <v/>
      </c>
    </row>
    <row r="80" spans="1:62" ht="109.9" customHeight="1" thickBot="1">
      <c r="A80" s="303">
        <v>67</v>
      </c>
      <c r="B80" s="956" t="str">
        <f>IF(基本情報入力シート!B102="","",基本情報入力シート!B102)</f>
        <v/>
      </c>
      <c r="C80" s="957"/>
      <c r="D80" s="957"/>
      <c r="E80" s="957"/>
      <c r="F80" s="958"/>
      <c r="G80" s="304" t="str">
        <f>IF(基本情報入力シート!L102="", "", 基本情報入力シート!L102)</f>
        <v/>
      </c>
      <c r="H80" s="304" t="str">
        <f>IF(基本情報入力シート!Q102="", "", 基本情報入力シート!Q102)</f>
        <v/>
      </c>
      <c r="I80" s="304" t="str">
        <f>IF(基本情報入力シート!V102="", "", 基本情報入力シート!V102)</f>
        <v/>
      </c>
      <c r="J80" s="304" t="str">
        <f>IF(基本情報入力シート!W102="", "", 基本情報入力シート!W102)</f>
        <v/>
      </c>
      <c r="K80" s="304" t="str">
        <f>IF(基本情報入力シート!Z102="", "", 基本情報入力シート!Z102)</f>
        <v/>
      </c>
      <c r="L80" s="558" t="str">
        <f>IF(基本情報入力シート!AF102=0, "",基本情報入力シート!AF102)</f>
        <v/>
      </c>
      <c r="M80" s="588"/>
      <c r="N80" s="522" t="str">
        <f>IFERROR(VLOOKUP(K80,【参考】数式用!$A$2:$F$57,MATCH(M80,【参考】数式用!$C$3:$F$3,0)+2,0),"")</f>
        <v/>
      </c>
      <c r="O80" s="511"/>
      <c r="P80" s="555" t="str">
        <f>IFERROR(VLOOKUP(K80,【参考】数式用!$A$2:$F$57,MATCH(O80,【参考】数式用!$C$3:$F$3,0)+2,0),"")</f>
        <v/>
      </c>
      <c r="Q80" s="310" t="s">
        <v>118</v>
      </c>
      <c r="R80" s="308"/>
      <c r="S80" s="309" t="s">
        <v>183</v>
      </c>
      <c r="T80" s="308"/>
      <c r="U80" s="309" t="s">
        <v>184</v>
      </c>
      <c r="V80" s="308"/>
      <c r="W80" s="309" t="s">
        <v>183</v>
      </c>
      <c r="X80" s="308"/>
      <c r="Y80" s="309" t="s">
        <v>185</v>
      </c>
      <c r="Z80" s="309" t="s">
        <v>186</v>
      </c>
      <c r="AA80" s="309" t="str">
        <f t="shared" si="21"/>
        <v/>
      </c>
      <c r="AB80" s="305" t="s">
        <v>187</v>
      </c>
      <c r="AC80" s="306" t="str">
        <f t="shared" si="43"/>
        <v/>
      </c>
      <c r="AD80" s="515" t="str">
        <f t="shared" si="44"/>
        <v/>
      </c>
      <c r="AE80" s="307" t="str">
        <f>IFERROR(ROUNDDOWN(ROUNDDOWN(ROUND(L80*VLOOKUP(K80,【参考】数式用!$A$4:$F$57,MATCH("処遇改善加算Ⅳ",【参考】数式用!$C$3:$F$3,0)+2,0),0),0)*AA80*0.5,0), "")</f>
        <v/>
      </c>
      <c r="AF80" s="318"/>
      <c r="AG80" s="319"/>
      <c r="AH80" s="319"/>
      <c r="AI80" s="318"/>
      <c r="AJ80" s="320"/>
      <c r="AK80" s="326"/>
      <c r="AL80" s="324" t="str">
        <f t="shared" si="33"/>
        <v/>
      </c>
      <c r="AM80" s="325" t="str">
        <f t="shared" si="52"/>
        <v/>
      </c>
      <c r="AN80" s="255"/>
      <c r="AO80" s="557" t="str">
        <f>IFERROR(VLOOKUP(K80,【参考】数式用!$A$2:$N$57,14,FALSE),"")</f>
        <v/>
      </c>
      <c r="AP80" s="557" t="str">
        <f t="shared" si="34"/>
        <v/>
      </c>
      <c r="AQ80" s="561" t="str">
        <f t="shared" si="35"/>
        <v/>
      </c>
      <c r="AR80" s="540" t="str">
        <f t="shared" si="36"/>
        <v>入力済</v>
      </c>
      <c r="AS80" s="578" t="str">
        <f t="shared" si="45"/>
        <v/>
      </c>
      <c r="AT80" s="540" t="str">
        <f t="shared" si="37"/>
        <v>入力済</v>
      </c>
      <c r="AU80" s="540" t="str">
        <f t="shared" si="46"/>
        <v/>
      </c>
      <c r="AV80" s="540" t="str">
        <f t="shared" si="38"/>
        <v/>
      </c>
      <c r="AW80" s="557" t="str">
        <f t="shared" si="39"/>
        <v/>
      </c>
      <c r="AX80" s="578" t="str">
        <f t="shared" si="47"/>
        <v/>
      </c>
      <c r="AY80" s="540" t="str">
        <f>IFERROR(VLOOKUP(K80,【参考】数式用!$AR$5:$AS$39,2, FALSE), "")</f>
        <v/>
      </c>
      <c r="AZ80" s="557" t="str">
        <f t="shared" si="48"/>
        <v/>
      </c>
      <c r="BA80" s="560" t="str">
        <f t="shared" si="40"/>
        <v>入力済</v>
      </c>
      <c r="BB80" s="540" t="str">
        <f>IFERROR(VLOOKUP(K80,【参考】数式用!$AX$3:$AY$59, 2, FALSE), "")</f>
        <v/>
      </c>
      <c r="BC80" s="578" t="str">
        <f t="shared" si="49"/>
        <v/>
      </c>
      <c r="BD80" s="560" t="str">
        <f t="shared" si="41"/>
        <v>入力済</v>
      </c>
      <c r="BE80" s="577" t="str">
        <f t="shared" si="50"/>
        <v/>
      </c>
      <c r="BF80" s="560" t="str">
        <f t="shared" si="42"/>
        <v/>
      </c>
      <c r="BG80" s="597"/>
      <c r="BH80" s="593" t="str">
        <f t="shared" si="51"/>
        <v/>
      </c>
      <c r="BI80" s="616" t="str">
        <f>IF(BH80="Ⅱロ有り",ROUNDDOWN(L80*VLOOKUP(K80,【参考】数式用!$A$4:$J$42,10,FALSE)*AA80,0),"")</f>
        <v/>
      </c>
      <c r="BJ80" s="616" t="str">
        <f>IF(BH80="Ⅱロなし",ROUNDDOWN(L80*VLOOKUP(K80,【参考】数式用!$A$4:$J$42,8,FALSE)*AA80,0),"")</f>
        <v/>
      </c>
    </row>
    <row r="81" spans="1:62" ht="109.9" customHeight="1" thickBot="1">
      <c r="A81" s="303">
        <v>68</v>
      </c>
      <c r="B81" s="956" t="str">
        <f>IF(基本情報入力シート!B103="","",基本情報入力シート!B103)</f>
        <v/>
      </c>
      <c r="C81" s="957"/>
      <c r="D81" s="957"/>
      <c r="E81" s="957"/>
      <c r="F81" s="958"/>
      <c r="G81" s="304" t="str">
        <f>IF(基本情報入力シート!L103="", "", 基本情報入力シート!L103)</f>
        <v/>
      </c>
      <c r="H81" s="304" t="str">
        <f>IF(基本情報入力シート!Q103="", "", 基本情報入力シート!Q103)</f>
        <v/>
      </c>
      <c r="I81" s="304" t="str">
        <f>IF(基本情報入力シート!V103="", "", 基本情報入力シート!V103)</f>
        <v/>
      </c>
      <c r="J81" s="304" t="str">
        <f>IF(基本情報入力シート!W103="", "", 基本情報入力シート!W103)</f>
        <v/>
      </c>
      <c r="K81" s="304" t="str">
        <f>IF(基本情報入力シート!Z103="", "", 基本情報入力シート!Z103)</f>
        <v/>
      </c>
      <c r="L81" s="558" t="str">
        <f>IF(基本情報入力シート!AF103=0, "",基本情報入力シート!AF103)</f>
        <v/>
      </c>
      <c r="M81" s="588"/>
      <c r="N81" s="522" t="str">
        <f>IFERROR(VLOOKUP(K81,【参考】数式用!$A$2:$F$57,MATCH(M81,【参考】数式用!$C$3:$F$3,0)+2,0),"")</f>
        <v/>
      </c>
      <c r="O81" s="511"/>
      <c r="P81" s="555" t="str">
        <f>IFERROR(VLOOKUP(K81,【参考】数式用!$A$2:$F$57,MATCH(O81,【参考】数式用!$C$3:$F$3,0)+2,0),"")</f>
        <v/>
      </c>
      <c r="Q81" s="310" t="s">
        <v>118</v>
      </c>
      <c r="R81" s="308"/>
      <c r="S81" s="309" t="s">
        <v>183</v>
      </c>
      <c r="T81" s="308"/>
      <c r="U81" s="309" t="s">
        <v>184</v>
      </c>
      <c r="V81" s="308"/>
      <c r="W81" s="309" t="s">
        <v>183</v>
      </c>
      <c r="X81" s="308"/>
      <c r="Y81" s="309" t="s">
        <v>185</v>
      </c>
      <c r="Z81" s="309" t="s">
        <v>186</v>
      </c>
      <c r="AA81" s="309" t="str">
        <f t="shared" si="21"/>
        <v/>
      </c>
      <c r="AB81" s="305" t="s">
        <v>187</v>
      </c>
      <c r="AC81" s="306" t="str">
        <f t="shared" si="43"/>
        <v/>
      </c>
      <c r="AD81" s="515" t="str">
        <f t="shared" si="44"/>
        <v/>
      </c>
      <c r="AE81" s="307" t="str">
        <f>IFERROR(ROUNDDOWN(ROUNDDOWN(ROUND(L81*VLOOKUP(K81,【参考】数式用!$A$4:$F$57,MATCH("処遇改善加算Ⅳ",【参考】数式用!$C$3:$F$3,0)+2,0),0),0)*AA81*0.5,0), "")</f>
        <v/>
      </c>
      <c r="AF81" s="318"/>
      <c r="AG81" s="319"/>
      <c r="AH81" s="319"/>
      <c r="AI81" s="318"/>
      <c r="AJ81" s="320"/>
      <c r="AK81" s="326"/>
      <c r="AL81" s="324" t="str">
        <f t="shared" si="33"/>
        <v/>
      </c>
      <c r="AM81" s="325" t="str">
        <f t="shared" si="52"/>
        <v/>
      </c>
      <c r="AN81" s="255"/>
      <c r="AO81" s="557" t="str">
        <f>IFERROR(VLOOKUP(K81,【参考】数式用!$A$2:$N$57,14,FALSE),"")</f>
        <v/>
      </c>
      <c r="AP81" s="557" t="str">
        <f t="shared" si="34"/>
        <v/>
      </c>
      <c r="AQ81" s="561" t="str">
        <f t="shared" si="35"/>
        <v/>
      </c>
      <c r="AR81" s="540" t="str">
        <f t="shared" si="36"/>
        <v>入力済</v>
      </c>
      <c r="AS81" s="578" t="str">
        <f t="shared" si="45"/>
        <v/>
      </c>
      <c r="AT81" s="540" t="str">
        <f t="shared" si="37"/>
        <v>入力済</v>
      </c>
      <c r="AU81" s="540" t="str">
        <f t="shared" si="46"/>
        <v/>
      </c>
      <c r="AV81" s="540" t="str">
        <f t="shared" si="38"/>
        <v/>
      </c>
      <c r="AW81" s="557" t="str">
        <f t="shared" si="39"/>
        <v/>
      </c>
      <c r="AX81" s="578" t="str">
        <f t="shared" si="47"/>
        <v/>
      </c>
      <c r="AY81" s="540" t="str">
        <f>IFERROR(VLOOKUP(K81,【参考】数式用!$AR$5:$AS$39,2, FALSE), "")</f>
        <v/>
      </c>
      <c r="AZ81" s="557" t="str">
        <f t="shared" si="48"/>
        <v/>
      </c>
      <c r="BA81" s="560" t="str">
        <f t="shared" si="40"/>
        <v>入力済</v>
      </c>
      <c r="BB81" s="540" t="str">
        <f>IFERROR(VLOOKUP(K81,【参考】数式用!$AX$3:$AY$59, 2, FALSE), "")</f>
        <v/>
      </c>
      <c r="BC81" s="578" t="str">
        <f t="shared" si="49"/>
        <v/>
      </c>
      <c r="BD81" s="560" t="str">
        <f t="shared" si="41"/>
        <v>入力済</v>
      </c>
      <c r="BE81" s="577" t="str">
        <f t="shared" si="50"/>
        <v/>
      </c>
      <c r="BF81" s="560" t="str">
        <f t="shared" si="42"/>
        <v/>
      </c>
      <c r="BG81" s="597"/>
      <c r="BH81" s="593" t="str">
        <f t="shared" si="51"/>
        <v/>
      </c>
      <c r="BI81" s="616" t="str">
        <f>IF(BH81="Ⅱロ有り",ROUNDDOWN(L81*VLOOKUP(K81,【参考】数式用!$A$4:$J$42,10,FALSE)*AA81,0),"")</f>
        <v/>
      </c>
      <c r="BJ81" s="616" t="str">
        <f>IF(BH81="Ⅱロなし",ROUNDDOWN(L81*VLOOKUP(K81,【参考】数式用!$A$4:$J$42,8,FALSE)*AA81,0),"")</f>
        <v/>
      </c>
    </row>
    <row r="82" spans="1:62" ht="109.9" customHeight="1" thickBot="1">
      <c r="A82" s="303">
        <v>69</v>
      </c>
      <c r="B82" s="956" t="str">
        <f>IF(基本情報入力シート!B104="","",基本情報入力シート!B104)</f>
        <v/>
      </c>
      <c r="C82" s="957"/>
      <c r="D82" s="957"/>
      <c r="E82" s="957"/>
      <c r="F82" s="958"/>
      <c r="G82" s="304" t="str">
        <f>IF(基本情報入力シート!L104="", "", 基本情報入力シート!L104)</f>
        <v/>
      </c>
      <c r="H82" s="304" t="str">
        <f>IF(基本情報入力シート!Q104="", "", 基本情報入力シート!Q104)</f>
        <v/>
      </c>
      <c r="I82" s="304" t="str">
        <f>IF(基本情報入力シート!V104="", "", 基本情報入力シート!V104)</f>
        <v/>
      </c>
      <c r="J82" s="304" t="str">
        <f>IF(基本情報入力シート!W104="", "", 基本情報入力シート!W104)</f>
        <v/>
      </c>
      <c r="K82" s="304" t="str">
        <f>IF(基本情報入力シート!Z104="", "", 基本情報入力シート!Z104)</f>
        <v/>
      </c>
      <c r="L82" s="558" t="str">
        <f>IF(基本情報入力シート!AF104=0, "",基本情報入力シート!AF104)</f>
        <v/>
      </c>
      <c r="M82" s="588"/>
      <c r="N82" s="522" t="str">
        <f>IFERROR(VLOOKUP(K82,【参考】数式用!$A$2:$F$57,MATCH(M82,【参考】数式用!$C$3:$F$3,0)+2,0),"")</f>
        <v/>
      </c>
      <c r="O82" s="511"/>
      <c r="P82" s="555" t="str">
        <f>IFERROR(VLOOKUP(K82,【参考】数式用!$A$2:$F$57,MATCH(O82,【参考】数式用!$C$3:$F$3,0)+2,0),"")</f>
        <v/>
      </c>
      <c r="Q82" s="310" t="s">
        <v>118</v>
      </c>
      <c r="R82" s="308"/>
      <c r="S82" s="309" t="s">
        <v>183</v>
      </c>
      <c r="T82" s="308"/>
      <c r="U82" s="309" t="s">
        <v>184</v>
      </c>
      <c r="V82" s="308"/>
      <c r="W82" s="309" t="s">
        <v>183</v>
      </c>
      <c r="X82" s="308"/>
      <c r="Y82" s="309" t="s">
        <v>185</v>
      </c>
      <c r="Z82" s="309" t="s">
        <v>186</v>
      </c>
      <c r="AA82" s="309" t="str">
        <f t="shared" si="21"/>
        <v/>
      </c>
      <c r="AB82" s="305" t="s">
        <v>187</v>
      </c>
      <c r="AC82" s="306" t="str">
        <f t="shared" si="43"/>
        <v/>
      </c>
      <c r="AD82" s="515" t="str">
        <f t="shared" si="44"/>
        <v/>
      </c>
      <c r="AE82" s="307" t="str">
        <f>IFERROR(ROUNDDOWN(ROUNDDOWN(ROUND(L82*VLOOKUP(K82,【参考】数式用!$A$4:$F$57,MATCH("処遇改善加算Ⅳ",【参考】数式用!$C$3:$F$3,0)+2,0),0),0)*AA82*0.5,0), "")</f>
        <v/>
      </c>
      <c r="AF82" s="318"/>
      <c r="AG82" s="319"/>
      <c r="AH82" s="319"/>
      <c r="AI82" s="318"/>
      <c r="AJ82" s="320"/>
      <c r="AK82" s="326"/>
      <c r="AL82" s="324" t="str">
        <f t="shared" si="33"/>
        <v/>
      </c>
      <c r="AM82" s="325" t="str">
        <f t="shared" si="52"/>
        <v/>
      </c>
      <c r="AN82" s="255"/>
      <c r="AO82" s="557" t="str">
        <f>IFERROR(VLOOKUP(K82,【参考】数式用!$A$2:$N$57,14,FALSE),"")</f>
        <v/>
      </c>
      <c r="AP82" s="557" t="str">
        <f t="shared" si="34"/>
        <v/>
      </c>
      <c r="AQ82" s="561" t="str">
        <f t="shared" si="35"/>
        <v/>
      </c>
      <c r="AR82" s="540" t="str">
        <f t="shared" si="36"/>
        <v>入力済</v>
      </c>
      <c r="AS82" s="578" t="str">
        <f t="shared" si="45"/>
        <v/>
      </c>
      <c r="AT82" s="540" t="str">
        <f t="shared" si="37"/>
        <v>入力済</v>
      </c>
      <c r="AU82" s="540" t="str">
        <f t="shared" si="46"/>
        <v/>
      </c>
      <c r="AV82" s="540" t="str">
        <f t="shared" si="38"/>
        <v/>
      </c>
      <c r="AW82" s="557" t="str">
        <f t="shared" si="39"/>
        <v/>
      </c>
      <c r="AX82" s="578" t="str">
        <f t="shared" si="47"/>
        <v/>
      </c>
      <c r="AY82" s="540" t="str">
        <f>IFERROR(VLOOKUP(K82,【参考】数式用!$AR$5:$AS$39,2, FALSE), "")</f>
        <v/>
      </c>
      <c r="AZ82" s="557" t="str">
        <f t="shared" si="48"/>
        <v/>
      </c>
      <c r="BA82" s="560" t="str">
        <f t="shared" si="40"/>
        <v>入力済</v>
      </c>
      <c r="BB82" s="540" t="str">
        <f>IFERROR(VLOOKUP(K82,【参考】数式用!$AX$3:$AY$59, 2, FALSE), "")</f>
        <v/>
      </c>
      <c r="BC82" s="578" t="str">
        <f t="shared" si="49"/>
        <v/>
      </c>
      <c r="BD82" s="560" t="str">
        <f t="shared" si="41"/>
        <v>入力済</v>
      </c>
      <c r="BE82" s="577" t="str">
        <f t="shared" si="50"/>
        <v/>
      </c>
      <c r="BF82" s="560" t="str">
        <f t="shared" si="42"/>
        <v/>
      </c>
      <c r="BG82" s="597"/>
      <c r="BH82" s="593" t="str">
        <f t="shared" si="51"/>
        <v/>
      </c>
      <c r="BI82" s="616" t="str">
        <f>IF(BH82="Ⅱロ有り",ROUNDDOWN(L82*VLOOKUP(K82,【参考】数式用!$A$4:$J$42,10,FALSE)*AA82,0),"")</f>
        <v/>
      </c>
      <c r="BJ82" s="616" t="str">
        <f>IF(BH82="Ⅱロなし",ROUNDDOWN(L82*VLOOKUP(K82,【参考】数式用!$A$4:$J$42,8,FALSE)*AA82,0),"")</f>
        <v/>
      </c>
    </row>
    <row r="83" spans="1:62" ht="109.9" customHeight="1" thickBot="1">
      <c r="A83" s="303">
        <v>70</v>
      </c>
      <c r="B83" s="956" t="str">
        <f>IF(基本情報入力シート!B105="","",基本情報入力シート!B105)</f>
        <v/>
      </c>
      <c r="C83" s="957"/>
      <c r="D83" s="957"/>
      <c r="E83" s="957"/>
      <c r="F83" s="958"/>
      <c r="G83" s="304" t="str">
        <f>IF(基本情報入力シート!L105="", "", 基本情報入力シート!L105)</f>
        <v/>
      </c>
      <c r="H83" s="304" t="str">
        <f>IF(基本情報入力シート!Q105="", "", 基本情報入力シート!Q105)</f>
        <v/>
      </c>
      <c r="I83" s="304" t="str">
        <f>IF(基本情報入力シート!V105="", "", 基本情報入力シート!V105)</f>
        <v/>
      </c>
      <c r="J83" s="304" t="str">
        <f>IF(基本情報入力シート!W105="", "", 基本情報入力シート!W105)</f>
        <v/>
      </c>
      <c r="K83" s="304" t="str">
        <f>IF(基本情報入力シート!Z105="", "", 基本情報入力シート!Z105)</f>
        <v/>
      </c>
      <c r="L83" s="558" t="str">
        <f>IF(基本情報入力シート!AF105=0, "",基本情報入力シート!AF105)</f>
        <v/>
      </c>
      <c r="M83" s="588"/>
      <c r="N83" s="522" t="str">
        <f>IFERROR(VLOOKUP(K83,【参考】数式用!$A$2:$F$57,MATCH(M83,【参考】数式用!$C$3:$F$3,0)+2,0),"")</f>
        <v/>
      </c>
      <c r="O83" s="511"/>
      <c r="P83" s="555" t="str">
        <f>IFERROR(VLOOKUP(K83,【参考】数式用!$A$2:$F$57,MATCH(O83,【参考】数式用!$C$3:$F$3,0)+2,0),"")</f>
        <v/>
      </c>
      <c r="Q83" s="310" t="s">
        <v>118</v>
      </c>
      <c r="R83" s="308"/>
      <c r="S83" s="309" t="s">
        <v>183</v>
      </c>
      <c r="T83" s="308"/>
      <c r="U83" s="309" t="s">
        <v>184</v>
      </c>
      <c r="V83" s="308"/>
      <c r="W83" s="309" t="s">
        <v>183</v>
      </c>
      <c r="X83" s="308"/>
      <c r="Y83" s="309" t="s">
        <v>185</v>
      </c>
      <c r="Z83" s="309" t="s">
        <v>186</v>
      </c>
      <c r="AA83" s="309" t="str">
        <f t="shared" si="21"/>
        <v/>
      </c>
      <c r="AB83" s="305" t="s">
        <v>187</v>
      </c>
      <c r="AC83" s="306" t="str">
        <f t="shared" si="43"/>
        <v/>
      </c>
      <c r="AD83" s="515" t="str">
        <f t="shared" si="44"/>
        <v/>
      </c>
      <c r="AE83" s="307" t="str">
        <f>IFERROR(ROUNDDOWN(ROUNDDOWN(ROUND(L83*VLOOKUP(K83,【参考】数式用!$A$4:$F$57,MATCH("処遇改善加算Ⅳ",【参考】数式用!$C$3:$F$3,0)+2,0),0),0)*AA83*0.5,0), "")</f>
        <v/>
      </c>
      <c r="AF83" s="318"/>
      <c r="AG83" s="319"/>
      <c r="AH83" s="319"/>
      <c r="AI83" s="318"/>
      <c r="AJ83" s="320"/>
      <c r="AK83" s="326"/>
      <c r="AL83" s="324" t="str">
        <f t="shared" si="33"/>
        <v/>
      </c>
      <c r="AM83" s="325" t="str">
        <f t="shared" si="52"/>
        <v/>
      </c>
      <c r="AN83" s="255"/>
      <c r="AO83" s="557" t="str">
        <f>IFERROR(VLOOKUP(K83,【参考】数式用!$A$2:$N$57,14,FALSE),"")</f>
        <v/>
      </c>
      <c r="AP83" s="557" t="str">
        <f t="shared" si="34"/>
        <v/>
      </c>
      <c r="AQ83" s="561" t="str">
        <f t="shared" si="35"/>
        <v/>
      </c>
      <c r="AR83" s="540" t="str">
        <f t="shared" si="36"/>
        <v>入力済</v>
      </c>
      <c r="AS83" s="578" t="str">
        <f t="shared" si="45"/>
        <v/>
      </c>
      <c r="AT83" s="540" t="str">
        <f t="shared" si="37"/>
        <v>入力済</v>
      </c>
      <c r="AU83" s="540" t="str">
        <f t="shared" si="46"/>
        <v/>
      </c>
      <c r="AV83" s="540" t="str">
        <f t="shared" si="38"/>
        <v/>
      </c>
      <c r="AW83" s="557" t="str">
        <f t="shared" si="39"/>
        <v/>
      </c>
      <c r="AX83" s="578" t="str">
        <f t="shared" si="47"/>
        <v/>
      </c>
      <c r="AY83" s="540" t="str">
        <f>IFERROR(VLOOKUP(K83,【参考】数式用!$AR$5:$AS$39,2, FALSE), "")</f>
        <v/>
      </c>
      <c r="AZ83" s="557" t="str">
        <f t="shared" si="48"/>
        <v/>
      </c>
      <c r="BA83" s="560" t="str">
        <f t="shared" si="40"/>
        <v>入力済</v>
      </c>
      <c r="BB83" s="540" t="str">
        <f>IFERROR(VLOOKUP(K83,【参考】数式用!$AX$3:$AY$59, 2, FALSE), "")</f>
        <v/>
      </c>
      <c r="BC83" s="578" t="str">
        <f t="shared" si="49"/>
        <v/>
      </c>
      <c r="BD83" s="560" t="str">
        <f t="shared" si="41"/>
        <v>入力済</v>
      </c>
      <c r="BE83" s="577" t="str">
        <f t="shared" si="50"/>
        <v/>
      </c>
      <c r="BF83" s="560" t="str">
        <f t="shared" si="42"/>
        <v/>
      </c>
      <c r="BG83" s="597"/>
      <c r="BH83" s="593" t="str">
        <f t="shared" si="51"/>
        <v/>
      </c>
      <c r="BI83" s="616" t="str">
        <f>IF(BH83="Ⅱロ有り",ROUNDDOWN(L83*VLOOKUP(K83,【参考】数式用!$A$4:$J$42,10,FALSE)*AA83,0),"")</f>
        <v/>
      </c>
      <c r="BJ83" s="616" t="str">
        <f>IF(BH83="Ⅱロなし",ROUNDDOWN(L83*VLOOKUP(K83,【参考】数式用!$A$4:$J$42,8,FALSE)*AA83,0),"")</f>
        <v/>
      </c>
    </row>
    <row r="84" spans="1:62" ht="109.9" customHeight="1" thickBot="1">
      <c r="A84" s="303">
        <v>71</v>
      </c>
      <c r="B84" s="956" t="str">
        <f>IF(基本情報入力シート!B106="","",基本情報入力シート!B106)</f>
        <v/>
      </c>
      <c r="C84" s="957"/>
      <c r="D84" s="957"/>
      <c r="E84" s="957"/>
      <c r="F84" s="958"/>
      <c r="G84" s="304" t="str">
        <f>IF(基本情報入力シート!L106="", "", 基本情報入力シート!L106)</f>
        <v/>
      </c>
      <c r="H84" s="304" t="str">
        <f>IF(基本情報入力シート!Q106="", "", 基本情報入力シート!Q106)</f>
        <v/>
      </c>
      <c r="I84" s="304" t="str">
        <f>IF(基本情報入力シート!V106="", "", 基本情報入力シート!V106)</f>
        <v/>
      </c>
      <c r="J84" s="304" t="str">
        <f>IF(基本情報入力シート!W106="", "", 基本情報入力シート!W106)</f>
        <v/>
      </c>
      <c r="K84" s="304" t="str">
        <f>IF(基本情報入力シート!Z106="", "", 基本情報入力シート!Z106)</f>
        <v/>
      </c>
      <c r="L84" s="558" t="str">
        <f>IF(基本情報入力シート!AF106=0, "",基本情報入力シート!AF106)</f>
        <v/>
      </c>
      <c r="M84" s="588"/>
      <c r="N84" s="522" t="str">
        <f>IFERROR(VLOOKUP(K84,【参考】数式用!$A$2:$F$57,MATCH(M84,【参考】数式用!$C$3:$F$3,0)+2,0),"")</f>
        <v/>
      </c>
      <c r="O84" s="511"/>
      <c r="P84" s="555" t="str">
        <f>IFERROR(VLOOKUP(K84,【参考】数式用!$A$2:$F$57,MATCH(O84,【参考】数式用!$C$3:$F$3,0)+2,0),"")</f>
        <v/>
      </c>
      <c r="Q84" s="310" t="s">
        <v>118</v>
      </c>
      <c r="R84" s="308"/>
      <c r="S84" s="309" t="s">
        <v>183</v>
      </c>
      <c r="T84" s="308"/>
      <c r="U84" s="309" t="s">
        <v>184</v>
      </c>
      <c r="V84" s="308"/>
      <c r="W84" s="309" t="s">
        <v>183</v>
      </c>
      <c r="X84" s="308"/>
      <c r="Y84" s="309" t="s">
        <v>185</v>
      </c>
      <c r="Z84" s="309" t="s">
        <v>186</v>
      </c>
      <c r="AA84" s="309" t="str">
        <f t="shared" ref="AA84:AA113" si="53">IF(R84&gt;=1,(V84*12+X84)-(R84*12+T84)+1,"")</f>
        <v/>
      </c>
      <c r="AB84" s="305" t="s">
        <v>187</v>
      </c>
      <c r="AC84" s="306" t="str">
        <f t="shared" si="43"/>
        <v/>
      </c>
      <c r="AD84" s="515" t="str">
        <f t="shared" si="44"/>
        <v/>
      </c>
      <c r="AE84" s="307" t="str">
        <f>IFERROR(ROUNDDOWN(ROUNDDOWN(ROUND(L84*VLOOKUP(K84,【参考】数式用!$A$4:$F$57,MATCH("処遇改善加算Ⅳ",【参考】数式用!$C$3:$F$3,0)+2,0),0),0)*AA84*0.5,0), "")</f>
        <v/>
      </c>
      <c r="AF84" s="318"/>
      <c r="AG84" s="319"/>
      <c r="AH84" s="319"/>
      <c r="AI84" s="318"/>
      <c r="AJ84" s="320"/>
      <c r="AK84" s="326"/>
      <c r="AL84" s="324" t="str">
        <f t="shared" si="33"/>
        <v/>
      </c>
      <c r="AM84" s="325" t="str">
        <f t="shared" si="52"/>
        <v/>
      </c>
      <c r="AN84" s="255"/>
      <c r="AO84" s="557" t="str">
        <f>IFERROR(VLOOKUP(K84,【参考】数式用!$A$2:$N$57,14,FALSE),"")</f>
        <v/>
      </c>
      <c r="AP84" s="557" t="str">
        <f t="shared" si="34"/>
        <v/>
      </c>
      <c r="AQ84" s="561" t="str">
        <f t="shared" si="35"/>
        <v/>
      </c>
      <c r="AR84" s="540" t="str">
        <f t="shared" si="36"/>
        <v>入力済</v>
      </c>
      <c r="AS84" s="578" t="str">
        <f t="shared" si="45"/>
        <v/>
      </c>
      <c r="AT84" s="540" t="str">
        <f t="shared" si="37"/>
        <v>入力済</v>
      </c>
      <c r="AU84" s="540" t="str">
        <f t="shared" si="46"/>
        <v/>
      </c>
      <c r="AV84" s="540" t="str">
        <f t="shared" si="38"/>
        <v/>
      </c>
      <c r="AW84" s="557" t="str">
        <f t="shared" si="39"/>
        <v/>
      </c>
      <c r="AX84" s="578" t="str">
        <f t="shared" si="47"/>
        <v/>
      </c>
      <c r="AY84" s="540" t="str">
        <f>IFERROR(VLOOKUP(K84,【参考】数式用!$AR$5:$AS$39,2, FALSE), "")</f>
        <v/>
      </c>
      <c r="AZ84" s="557" t="str">
        <f t="shared" si="48"/>
        <v/>
      </c>
      <c r="BA84" s="560" t="str">
        <f t="shared" si="40"/>
        <v>入力済</v>
      </c>
      <c r="BB84" s="540" t="str">
        <f>IFERROR(VLOOKUP(K84,【参考】数式用!$AX$3:$AY$59, 2, FALSE), "")</f>
        <v/>
      </c>
      <c r="BC84" s="578" t="str">
        <f t="shared" si="49"/>
        <v/>
      </c>
      <c r="BD84" s="560" t="str">
        <f t="shared" si="41"/>
        <v>入力済</v>
      </c>
      <c r="BE84" s="577" t="str">
        <f t="shared" si="50"/>
        <v/>
      </c>
      <c r="BF84" s="560" t="str">
        <f t="shared" si="42"/>
        <v/>
      </c>
      <c r="BG84" s="597"/>
      <c r="BH84" s="593" t="str">
        <f t="shared" si="51"/>
        <v/>
      </c>
      <c r="BI84" s="616" t="str">
        <f>IF(BH84="Ⅱロ有り",ROUNDDOWN(L84*VLOOKUP(K84,【参考】数式用!$A$4:$J$42,10,FALSE)*AA84,0),"")</f>
        <v/>
      </c>
      <c r="BJ84" s="616" t="str">
        <f>IF(BH84="Ⅱロなし",ROUNDDOWN(L84*VLOOKUP(K84,【参考】数式用!$A$4:$J$42,8,FALSE)*AA84,0),"")</f>
        <v/>
      </c>
    </row>
    <row r="85" spans="1:62" ht="109.9" customHeight="1" thickBot="1">
      <c r="A85" s="303">
        <v>72</v>
      </c>
      <c r="B85" s="956" t="str">
        <f>IF(基本情報入力シート!B107="","",基本情報入力シート!B107)</f>
        <v/>
      </c>
      <c r="C85" s="957"/>
      <c r="D85" s="957"/>
      <c r="E85" s="957"/>
      <c r="F85" s="958"/>
      <c r="G85" s="304" t="str">
        <f>IF(基本情報入力シート!L107="", "", 基本情報入力シート!L107)</f>
        <v/>
      </c>
      <c r="H85" s="304" t="str">
        <f>IF(基本情報入力シート!Q107="", "", 基本情報入力シート!Q107)</f>
        <v/>
      </c>
      <c r="I85" s="304" t="str">
        <f>IF(基本情報入力シート!V107="", "", 基本情報入力シート!V107)</f>
        <v/>
      </c>
      <c r="J85" s="304" t="str">
        <f>IF(基本情報入力シート!W107="", "", 基本情報入力シート!W107)</f>
        <v/>
      </c>
      <c r="K85" s="304" t="str">
        <f>IF(基本情報入力シート!Z107="", "", 基本情報入力シート!Z107)</f>
        <v/>
      </c>
      <c r="L85" s="558" t="str">
        <f>IF(基本情報入力シート!AF107=0, "",基本情報入力シート!AF107)</f>
        <v/>
      </c>
      <c r="M85" s="588"/>
      <c r="N85" s="522" t="str">
        <f>IFERROR(VLOOKUP(K85,【参考】数式用!$A$2:$F$57,MATCH(M85,【参考】数式用!$C$3:$F$3,0)+2,0),"")</f>
        <v/>
      </c>
      <c r="O85" s="511"/>
      <c r="P85" s="555" t="str">
        <f>IFERROR(VLOOKUP(K85,【参考】数式用!$A$2:$F$57,MATCH(O85,【参考】数式用!$C$3:$F$3,0)+2,0),"")</f>
        <v/>
      </c>
      <c r="Q85" s="310" t="s">
        <v>118</v>
      </c>
      <c r="R85" s="308"/>
      <c r="S85" s="309" t="s">
        <v>183</v>
      </c>
      <c r="T85" s="308"/>
      <c r="U85" s="309" t="s">
        <v>184</v>
      </c>
      <c r="V85" s="308"/>
      <c r="W85" s="309" t="s">
        <v>183</v>
      </c>
      <c r="X85" s="308"/>
      <c r="Y85" s="309" t="s">
        <v>185</v>
      </c>
      <c r="Z85" s="309" t="s">
        <v>186</v>
      </c>
      <c r="AA85" s="309" t="str">
        <f t="shared" si="53"/>
        <v/>
      </c>
      <c r="AB85" s="305" t="s">
        <v>187</v>
      </c>
      <c r="AC85" s="306" t="str">
        <f t="shared" si="43"/>
        <v/>
      </c>
      <c r="AD85" s="515" t="str">
        <f t="shared" si="44"/>
        <v/>
      </c>
      <c r="AE85" s="307" t="str">
        <f>IFERROR(ROUNDDOWN(ROUNDDOWN(ROUND(L85*VLOOKUP(K85,【参考】数式用!$A$4:$F$57,MATCH("処遇改善加算Ⅳ",【参考】数式用!$C$3:$F$3,0)+2,0),0),0)*AA85*0.5,0), "")</f>
        <v/>
      </c>
      <c r="AF85" s="318"/>
      <c r="AG85" s="319"/>
      <c r="AH85" s="319"/>
      <c r="AI85" s="318"/>
      <c r="AJ85" s="320"/>
      <c r="AK85" s="326"/>
      <c r="AL85" s="324" t="str">
        <f t="shared" si="33"/>
        <v/>
      </c>
      <c r="AM85" s="325" t="str">
        <f t="shared" si="52"/>
        <v/>
      </c>
      <c r="AN85" s="255"/>
      <c r="AO85" s="557" t="str">
        <f>IFERROR(VLOOKUP(K85,【参考】数式用!$A$2:$N$57,14,FALSE),"")</f>
        <v/>
      </c>
      <c r="AP85" s="557" t="str">
        <f t="shared" si="34"/>
        <v/>
      </c>
      <c r="AQ85" s="561" t="str">
        <f t="shared" si="35"/>
        <v/>
      </c>
      <c r="AR85" s="540" t="str">
        <f t="shared" si="36"/>
        <v>入力済</v>
      </c>
      <c r="AS85" s="578" t="str">
        <f t="shared" si="45"/>
        <v/>
      </c>
      <c r="AT85" s="540" t="str">
        <f t="shared" si="37"/>
        <v>入力済</v>
      </c>
      <c r="AU85" s="540" t="str">
        <f t="shared" si="46"/>
        <v/>
      </c>
      <c r="AV85" s="540" t="str">
        <f t="shared" si="38"/>
        <v/>
      </c>
      <c r="AW85" s="557" t="str">
        <f t="shared" si="39"/>
        <v/>
      </c>
      <c r="AX85" s="578" t="str">
        <f t="shared" si="47"/>
        <v/>
      </c>
      <c r="AY85" s="540" t="str">
        <f>IFERROR(VLOOKUP(K85,【参考】数式用!$AR$5:$AS$39,2, FALSE), "")</f>
        <v/>
      </c>
      <c r="AZ85" s="557" t="str">
        <f t="shared" si="48"/>
        <v/>
      </c>
      <c r="BA85" s="560" t="str">
        <f t="shared" si="40"/>
        <v>入力済</v>
      </c>
      <c r="BB85" s="540" t="str">
        <f>IFERROR(VLOOKUP(K85,【参考】数式用!$AX$3:$AY$59, 2, FALSE), "")</f>
        <v/>
      </c>
      <c r="BC85" s="578" t="str">
        <f t="shared" si="49"/>
        <v/>
      </c>
      <c r="BD85" s="560" t="str">
        <f t="shared" si="41"/>
        <v>入力済</v>
      </c>
      <c r="BE85" s="577" t="str">
        <f t="shared" si="50"/>
        <v/>
      </c>
      <c r="BF85" s="560" t="str">
        <f t="shared" si="42"/>
        <v/>
      </c>
      <c r="BG85" s="597"/>
      <c r="BH85" s="593" t="str">
        <f t="shared" si="51"/>
        <v/>
      </c>
      <c r="BI85" s="616" t="str">
        <f>IF(BH85="Ⅱロ有り",ROUNDDOWN(L85*VLOOKUP(K85,【参考】数式用!$A$4:$J$42,10,FALSE)*AA85,0),"")</f>
        <v/>
      </c>
      <c r="BJ85" s="616" t="str">
        <f>IF(BH85="Ⅱロなし",ROUNDDOWN(L85*VLOOKUP(K85,【参考】数式用!$A$4:$J$42,8,FALSE)*AA85,0),"")</f>
        <v/>
      </c>
    </row>
    <row r="86" spans="1:62" ht="109.9" customHeight="1" thickBot="1">
      <c r="A86" s="303">
        <v>73</v>
      </c>
      <c r="B86" s="956" t="str">
        <f>IF(基本情報入力シート!B108="","",基本情報入力シート!B108)</f>
        <v/>
      </c>
      <c r="C86" s="957"/>
      <c r="D86" s="957"/>
      <c r="E86" s="957"/>
      <c r="F86" s="958"/>
      <c r="G86" s="304" t="str">
        <f>IF(基本情報入力シート!L108="", "", 基本情報入力シート!L108)</f>
        <v/>
      </c>
      <c r="H86" s="304" t="str">
        <f>IF(基本情報入力シート!Q108="", "", 基本情報入力シート!Q108)</f>
        <v/>
      </c>
      <c r="I86" s="304" t="str">
        <f>IF(基本情報入力シート!V108="", "", 基本情報入力シート!V108)</f>
        <v/>
      </c>
      <c r="J86" s="304" t="str">
        <f>IF(基本情報入力シート!W108="", "", 基本情報入力シート!W108)</f>
        <v/>
      </c>
      <c r="K86" s="304" t="str">
        <f>IF(基本情報入力シート!Z108="", "", 基本情報入力シート!Z108)</f>
        <v/>
      </c>
      <c r="L86" s="558" t="str">
        <f>IF(基本情報入力シート!AF108=0, "",基本情報入力シート!AF108)</f>
        <v/>
      </c>
      <c r="M86" s="588"/>
      <c r="N86" s="522" t="str">
        <f>IFERROR(VLOOKUP(K86,【参考】数式用!$A$2:$F$57,MATCH(M86,【参考】数式用!$C$3:$F$3,0)+2,0),"")</f>
        <v/>
      </c>
      <c r="O86" s="511"/>
      <c r="P86" s="555" t="str">
        <f>IFERROR(VLOOKUP(K86,【参考】数式用!$A$2:$F$57,MATCH(O86,【参考】数式用!$C$3:$F$3,0)+2,0),"")</f>
        <v/>
      </c>
      <c r="Q86" s="310" t="s">
        <v>118</v>
      </c>
      <c r="R86" s="308"/>
      <c r="S86" s="309" t="s">
        <v>183</v>
      </c>
      <c r="T86" s="308"/>
      <c r="U86" s="309" t="s">
        <v>184</v>
      </c>
      <c r="V86" s="308"/>
      <c r="W86" s="309" t="s">
        <v>183</v>
      </c>
      <c r="X86" s="308"/>
      <c r="Y86" s="309" t="s">
        <v>185</v>
      </c>
      <c r="Z86" s="309" t="s">
        <v>186</v>
      </c>
      <c r="AA86" s="309" t="str">
        <f t="shared" si="53"/>
        <v/>
      </c>
      <c r="AB86" s="305" t="s">
        <v>187</v>
      </c>
      <c r="AC86" s="306" t="str">
        <f t="shared" si="43"/>
        <v/>
      </c>
      <c r="AD86" s="515" t="str">
        <f t="shared" si="44"/>
        <v/>
      </c>
      <c r="AE86" s="307" t="str">
        <f>IFERROR(ROUNDDOWN(ROUNDDOWN(ROUND(L86*VLOOKUP(K86,【参考】数式用!$A$4:$F$57,MATCH("処遇改善加算Ⅳ",【参考】数式用!$C$3:$F$3,0)+2,0),0),0)*AA86*0.5,0), "")</f>
        <v/>
      </c>
      <c r="AF86" s="318"/>
      <c r="AG86" s="319"/>
      <c r="AH86" s="319"/>
      <c r="AI86" s="318"/>
      <c r="AJ86" s="320"/>
      <c r="AK86" s="326"/>
      <c r="AL86" s="324" t="str">
        <f t="shared" si="33"/>
        <v/>
      </c>
      <c r="AM86" s="325" t="str">
        <f t="shared" si="52"/>
        <v/>
      </c>
      <c r="AN86" s="255"/>
      <c r="AO86" s="557" t="str">
        <f>IFERROR(VLOOKUP(K86,【参考】数式用!$A$2:$N$57,14,FALSE),"")</f>
        <v/>
      </c>
      <c r="AP86" s="557" t="str">
        <f t="shared" si="34"/>
        <v/>
      </c>
      <c r="AQ86" s="561" t="str">
        <f t="shared" si="35"/>
        <v/>
      </c>
      <c r="AR86" s="540" t="str">
        <f t="shared" si="36"/>
        <v>入力済</v>
      </c>
      <c r="AS86" s="578" t="str">
        <f t="shared" si="45"/>
        <v/>
      </c>
      <c r="AT86" s="540" t="str">
        <f t="shared" si="37"/>
        <v>入力済</v>
      </c>
      <c r="AU86" s="540" t="str">
        <f t="shared" si="46"/>
        <v/>
      </c>
      <c r="AV86" s="540" t="str">
        <f t="shared" si="38"/>
        <v/>
      </c>
      <c r="AW86" s="557" t="str">
        <f t="shared" si="39"/>
        <v/>
      </c>
      <c r="AX86" s="578" t="str">
        <f t="shared" si="47"/>
        <v/>
      </c>
      <c r="AY86" s="540" t="str">
        <f>IFERROR(VLOOKUP(K86,【参考】数式用!$AR$5:$AS$39,2, FALSE), "")</f>
        <v/>
      </c>
      <c r="AZ86" s="557" t="str">
        <f t="shared" si="48"/>
        <v/>
      </c>
      <c r="BA86" s="560" t="str">
        <f t="shared" si="40"/>
        <v>入力済</v>
      </c>
      <c r="BB86" s="540" t="str">
        <f>IFERROR(VLOOKUP(K86,【参考】数式用!$AX$3:$AY$59, 2, FALSE), "")</f>
        <v/>
      </c>
      <c r="BC86" s="578" t="str">
        <f t="shared" si="49"/>
        <v/>
      </c>
      <c r="BD86" s="560" t="str">
        <f t="shared" si="41"/>
        <v>入力済</v>
      </c>
      <c r="BE86" s="577" t="str">
        <f t="shared" si="50"/>
        <v/>
      </c>
      <c r="BF86" s="560" t="str">
        <f t="shared" si="42"/>
        <v/>
      </c>
      <c r="BG86" s="597"/>
      <c r="BH86" s="593" t="str">
        <f t="shared" si="51"/>
        <v/>
      </c>
      <c r="BI86" s="616" t="str">
        <f>IF(BH86="Ⅱロ有り",ROUNDDOWN(L86*VLOOKUP(K86,【参考】数式用!$A$4:$J$42,10,FALSE)*AA86,0),"")</f>
        <v/>
      </c>
      <c r="BJ86" s="616" t="str">
        <f>IF(BH86="Ⅱロなし",ROUNDDOWN(L86*VLOOKUP(K86,【参考】数式用!$A$4:$J$42,8,FALSE)*AA86,0),"")</f>
        <v/>
      </c>
    </row>
    <row r="87" spans="1:62" ht="109.9" customHeight="1" thickBot="1">
      <c r="A87" s="303">
        <v>74</v>
      </c>
      <c r="B87" s="956" t="str">
        <f>IF(基本情報入力シート!B109="","",基本情報入力シート!B109)</f>
        <v/>
      </c>
      <c r="C87" s="957"/>
      <c r="D87" s="957"/>
      <c r="E87" s="957"/>
      <c r="F87" s="958"/>
      <c r="G87" s="304" t="str">
        <f>IF(基本情報入力シート!L109="", "", 基本情報入力シート!L109)</f>
        <v/>
      </c>
      <c r="H87" s="304" t="str">
        <f>IF(基本情報入力シート!Q109="", "", 基本情報入力シート!Q109)</f>
        <v/>
      </c>
      <c r="I87" s="304" t="str">
        <f>IF(基本情報入力シート!V109="", "", 基本情報入力シート!V109)</f>
        <v/>
      </c>
      <c r="J87" s="304" t="str">
        <f>IF(基本情報入力シート!W109="", "", 基本情報入力シート!W109)</f>
        <v/>
      </c>
      <c r="K87" s="304" t="str">
        <f>IF(基本情報入力シート!Z109="", "", 基本情報入力シート!Z109)</f>
        <v/>
      </c>
      <c r="L87" s="558" t="str">
        <f>IF(基本情報入力シート!AF109=0, "",基本情報入力シート!AF109)</f>
        <v/>
      </c>
      <c r="M87" s="588"/>
      <c r="N87" s="522" t="str">
        <f>IFERROR(VLOOKUP(K87,【参考】数式用!$A$2:$F$57,MATCH(M87,【参考】数式用!$C$3:$F$3,0)+2,0),"")</f>
        <v/>
      </c>
      <c r="O87" s="511"/>
      <c r="P87" s="555" t="str">
        <f>IFERROR(VLOOKUP(K87,【参考】数式用!$A$2:$F$57,MATCH(O87,【参考】数式用!$C$3:$F$3,0)+2,0),"")</f>
        <v/>
      </c>
      <c r="Q87" s="310" t="s">
        <v>118</v>
      </c>
      <c r="R87" s="308"/>
      <c r="S87" s="309" t="s">
        <v>183</v>
      </c>
      <c r="T87" s="308"/>
      <c r="U87" s="309" t="s">
        <v>184</v>
      </c>
      <c r="V87" s="308"/>
      <c r="W87" s="309" t="s">
        <v>183</v>
      </c>
      <c r="X87" s="308"/>
      <c r="Y87" s="309" t="s">
        <v>185</v>
      </c>
      <c r="Z87" s="309" t="s">
        <v>186</v>
      </c>
      <c r="AA87" s="309" t="str">
        <f t="shared" si="53"/>
        <v/>
      </c>
      <c r="AB87" s="305" t="s">
        <v>187</v>
      </c>
      <c r="AC87" s="306" t="str">
        <f t="shared" si="43"/>
        <v/>
      </c>
      <c r="AD87" s="515" t="str">
        <f t="shared" si="44"/>
        <v/>
      </c>
      <c r="AE87" s="307" t="str">
        <f>IFERROR(ROUNDDOWN(ROUNDDOWN(ROUND(L87*VLOOKUP(K87,【参考】数式用!$A$4:$F$57,MATCH("処遇改善加算Ⅳ",【参考】数式用!$C$3:$F$3,0)+2,0),0),0)*AA87*0.5,0), "")</f>
        <v/>
      </c>
      <c r="AF87" s="318"/>
      <c r="AG87" s="319"/>
      <c r="AH87" s="319"/>
      <c r="AI87" s="318"/>
      <c r="AJ87" s="320"/>
      <c r="AK87" s="326"/>
      <c r="AL87" s="324" t="str">
        <f t="shared" si="33"/>
        <v/>
      </c>
      <c r="AM87" s="325" t="str">
        <f t="shared" si="52"/>
        <v/>
      </c>
      <c r="AN87" s="255"/>
      <c r="AO87" s="557" t="str">
        <f>IFERROR(VLOOKUP(K87,【参考】数式用!$A$2:$N$57,14,FALSE),"")</f>
        <v/>
      </c>
      <c r="AP87" s="557" t="str">
        <f t="shared" si="34"/>
        <v/>
      </c>
      <c r="AQ87" s="561" t="str">
        <f t="shared" si="35"/>
        <v/>
      </c>
      <c r="AR87" s="540" t="str">
        <f t="shared" si="36"/>
        <v>入力済</v>
      </c>
      <c r="AS87" s="578" t="str">
        <f t="shared" si="45"/>
        <v/>
      </c>
      <c r="AT87" s="540" t="str">
        <f t="shared" si="37"/>
        <v>入力済</v>
      </c>
      <c r="AU87" s="540" t="str">
        <f t="shared" si="46"/>
        <v/>
      </c>
      <c r="AV87" s="540" t="str">
        <f t="shared" si="38"/>
        <v/>
      </c>
      <c r="AW87" s="557" t="str">
        <f t="shared" si="39"/>
        <v/>
      </c>
      <c r="AX87" s="578" t="str">
        <f t="shared" si="47"/>
        <v/>
      </c>
      <c r="AY87" s="540" t="str">
        <f>IFERROR(VLOOKUP(K87,【参考】数式用!$AR$5:$AS$39,2, FALSE), "")</f>
        <v/>
      </c>
      <c r="AZ87" s="557" t="str">
        <f t="shared" si="48"/>
        <v/>
      </c>
      <c r="BA87" s="560" t="str">
        <f t="shared" si="40"/>
        <v>入力済</v>
      </c>
      <c r="BB87" s="540" t="str">
        <f>IFERROR(VLOOKUP(K87,【参考】数式用!$AX$3:$AY$59, 2, FALSE), "")</f>
        <v/>
      </c>
      <c r="BC87" s="578" t="str">
        <f t="shared" si="49"/>
        <v/>
      </c>
      <c r="BD87" s="560" t="str">
        <f t="shared" si="41"/>
        <v>入力済</v>
      </c>
      <c r="BE87" s="577" t="str">
        <f t="shared" si="50"/>
        <v/>
      </c>
      <c r="BF87" s="560" t="str">
        <f t="shared" si="42"/>
        <v/>
      </c>
      <c r="BG87" s="597"/>
      <c r="BH87" s="593" t="str">
        <f t="shared" si="51"/>
        <v/>
      </c>
      <c r="BI87" s="616" t="str">
        <f>IF(BH87="Ⅱロ有り",ROUNDDOWN(L87*VLOOKUP(K87,【参考】数式用!$A$4:$J$42,10,FALSE)*AA87,0),"")</f>
        <v/>
      </c>
      <c r="BJ87" s="616" t="str">
        <f>IF(BH87="Ⅱロなし",ROUNDDOWN(L87*VLOOKUP(K87,【参考】数式用!$A$4:$J$42,8,FALSE)*AA87,0),"")</f>
        <v/>
      </c>
    </row>
    <row r="88" spans="1:62" ht="109.9" customHeight="1" thickBot="1">
      <c r="A88" s="303">
        <v>75</v>
      </c>
      <c r="B88" s="956" t="str">
        <f>IF(基本情報入力シート!B110="","",基本情報入力シート!B110)</f>
        <v/>
      </c>
      <c r="C88" s="957"/>
      <c r="D88" s="957"/>
      <c r="E88" s="957"/>
      <c r="F88" s="958"/>
      <c r="G88" s="304" t="str">
        <f>IF(基本情報入力シート!L110="", "", 基本情報入力シート!L110)</f>
        <v/>
      </c>
      <c r="H88" s="304" t="str">
        <f>IF(基本情報入力シート!Q110="", "", 基本情報入力シート!Q110)</f>
        <v/>
      </c>
      <c r="I88" s="304" t="str">
        <f>IF(基本情報入力シート!V110="", "", 基本情報入力シート!V110)</f>
        <v/>
      </c>
      <c r="J88" s="304" t="str">
        <f>IF(基本情報入力シート!W110="", "", 基本情報入力シート!W110)</f>
        <v/>
      </c>
      <c r="K88" s="304" t="str">
        <f>IF(基本情報入力シート!Z110="", "", 基本情報入力シート!Z110)</f>
        <v/>
      </c>
      <c r="L88" s="558" t="str">
        <f>IF(基本情報入力シート!AF110=0, "",基本情報入力シート!AF110)</f>
        <v/>
      </c>
      <c r="M88" s="588"/>
      <c r="N88" s="522" t="str">
        <f>IFERROR(VLOOKUP(K88,【参考】数式用!$A$2:$F$57,MATCH(M88,【参考】数式用!$C$3:$F$3,0)+2,0),"")</f>
        <v/>
      </c>
      <c r="O88" s="511"/>
      <c r="P88" s="555" t="str">
        <f>IFERROR(VLOOKUP(K88,【参考】数式用!$A$2:$F$57,MATCH(O88,【参考】数式用!$C$3:$F$3,0)+2,0),"")</f>
        <v/>
      </c>
      <c r="Q88" s="310" t="s">
        <v>118</v>
      </c>
      <c r="R88" s="308"/>
      <c r="S88" s="309" t="s">
        <v>183</v>
      </c>
      <c r="T88" s="308"/>
      <c r="U88" s="309" t="s">
        <v>184</v>
      </c>
      <c r="V88" s="308"/>
      <c r="W88" s="309" t="s">
        <v>183</v>
      </c>
      <c r="X88" s="308"/>
      <c r="Y88" s="309" t="s">
        <v>185</v>
      </c>
      <c r="Z88" s="309" t="s">
        <v>186</v>
      </c>
      <c r="AA88" s="309" t="str">
        <f t="shared" si="53"/>
        <v/>
      </c>
      <c r="AB88" s="305" t="s">
        <v>187</v>
      </c>
      <c r="AC88" s="306" t="str">
        <f t="shared" si="43"/>
        <v/>
      </c>
      <c r="AD88" s="515" t="str">
        <f t="shared" si="44"/>
        <v/>
      </c>
      <c r="AE88" s="307" t="str">
        <f>IFERROR(ROUNDDOWN(ROUNDDOWN(ROUND(L88*VLOOKUP(K88,【参考】数式用!$A$4:$F$57,MATCH("処遇改善加算Ⅳ",【参考】数式用!$C$3:$F$3,0)+2,0),0),0)*AA88*0.5,0), "")</f>
        <v/>
      </c>
      <c r="AF88" s="318"/>
      <c r="AG88" s="319"/>
      <c r="AH88" s="319"/>
      <c r="AI88" s="318"/>
      <c r="AJ88" s="320"/>
      <c r="AK88" s="326"/>
      <c r="AL88" s="324" t="str">
        <f t="shared" si="33"/>
        <v/>
      </c>
      <c r="AM88" s="325" t="str">
        <f t="shared" si="52"/>
        <v/>
      </c>
      <c r="AN88" s="255"/>
      <c r="AO88" s="557" t="str">
        <f>IFERROR(VLOOKUP(K88,【参考】数式用!$A$2:$N$57,14,FALSE),"")</f>
        <v/>
      </c>
      <c r="AP88" s="557" t="str">
        <f t="shared" si="34"/>
        <v/>
      </c>
      <c r="AQ88" s="561" t="str">
        <f t="shared" si="35"/>
        <v/>
      </c>
      <c r="AR88" s="540" t="str">
        <f t="shared" si="36"/>
        <v>入力済</v>
      </c>
      <c r="AS88" s="578" t="str">
        <f t="shared" si="45"/>
        <v/>
      </c>
      <c r="AT88" s="540" t="str">
        <f t="shared" si="37"/>
        <v>入力済</v>
      </c>
      <c r="AU88" s="540" t="str">
        <f t="shared" si="46"/>
        <v/>
      </c>
      <c r="AV88" s="540" t="str">
        <f t="shared" si="38"/>
        <v/>
      </c>
      <c r="AW88" s="557" t="str">
        <f t="shared" si="39"/>
        <v/>
      </c>
      <c r="AX88" s="578" t="str">
        <f t="shared" si="47"/>
        <v/>
      </c>
      <c r="AY88" s="540" t="str">
        <f>IFERROR(VLOOKUP(K88,【参考】数式用!$AR$5:$AS$39,2, FALSE), "")</f>
        <v/>
      </c>
      <c r="AZ88" s="557" t="str">
        <f t="shared" si="48"/>
        <v/>
      </c>
      <c r="BA88" s="560" t="str">
        <f t="shared" si="40"/>
        <v>入力済</v>
      </c>
      <c r="BB88" s="540" t="str">
        <f>IFERROR(VLOOKUP(K88,【参考】数式用!$AX$3:$AY$59, 2, FALSE), "")</f>
        <v/>
      </c>
      <c r="BC88" s="578" t="str">
        <f t="shared" si="49"/>
        <v/>
      </c>
      <c r="BD88" s="560" t="str">
        <f t="shared" si="41"/>
        <v>入力済</v>
      </c>
      <c r="BE88" s="577" t="str">
        <f t="shared" si="50"/>
        <v/>
      </c>
      <c r="BF88" s="560" t="str">
        <f t="shared" si="42"/>
        <v/>
      </c>
      <c r="BG88" s="597"/>
      <c r="BH88" s="593" t="str">
        <f t="shared" si="51"/>
        <v/>
      </c>
      <c r="BI88" s="616" t="str">
        <f>IF(BH88="Ⅱロ有り",ROUNDDOWN(L88*VLOOKUP(K88,【参考】数式用!$A$4:$J$42,10,FALSE)*AA88,0),"")</f>
        <v/>
      </c>
      <c r="BJ88" s="616" t="str">
        <f>IF(BH88="Ⅱロなし",ROUNDDOWN(L88*VLOOKUP(K88,【参考】数式用!$A$4:$J$42,8,FALSE)*AA88,0),"")</f>
        <v/>
      </c>
    </row>
    <row r="89" spans="1:62" ht="109.9" customHeight="1" thickBot="1">
      <c r="A89" s="303">
        <v>76</v>
      </c>
      <c r="B89" s="956" t="str">
        <f>IF(基本情報入力シート!B111="","",基本情報入力シート!B111)</f>
        <v/>
      </c>
      <c r="C89" s="957"/>
      <c r="D89" s="957"/>
      <c r="E89" s="957"/>
      <c r="F89" s="958"/>
      <c r="G89" s="304" t="str">
        <f>IF(基本情報入力シート!L111="", "", 基本情報入力シート!L111)</f>
        <v/>
      </c>
      <c r="H89" s="304" t="str">
        <f>IF(基本情報入力シート!Q111="", "", 基本情報入力シート!Q111)</f>
        <v/>
      </c>
      <c r="I89" s="304" t="str">
        <f>IF(基本情報入力シート!V111="", "", 基本情報入力シート!V111)</f>
        <v/>
      </c>
      <c r="J89" s="304" t="str">
        <f>IF(基本情報入力シート!W111="", "", 基本情報入力シート!W111)</f>
        <v/>
      </c>
      <c r="K89" s="304" t="str">
        <f>IF(基本情報入力シート!Z111="", "", 基本情報入力シート!Z111)</f>
        <v/>
      </c>
      <c r="L89" s="558" t="str">
        <f>IF(基本情報入力シート!AF111=0, "",基本情報入力シート!AF111)</f>
        <v/>
      </c>
      <c r="M89" s="588"/>
      <c r="N89" s="522" t="str">
        <f>IFERROR(VLOOKUP(K89,【参考】数式用!$A$2:$F$57,MATCH(M89,【参考】数式用!$C$3:$F$3,0)+2,0),"")</f>
        <v/>
      </c>
      <c r="O89" s="511"/>
      <c r="P89" s="555" t="str">
        <f>IFERROR(VLOOKUP(K89,【参考】数式用!$A$2:$F$57,MATCH(O89,【参考】数式用!$C$3:$F$3,0)+2,0),"")</f>
        <v/>
      </c>
      <c r="Q89" s="310" t="s">
        <v>118</v>
      </c>
      <c r="R89" s="308"/>
      <c r="S89" s="309" t="s">
        <v>183</v>
      </c>
      <c r="T89" s="308"/>
      <c r="U89" s="309" t="s">
        <v>184</v>
      </c>
      <c r="V89" s="308"/>
      <c r="W89" s="309" t="s">
        <v>183</v>
      </c>
      <c r="X89" s="308"/>
      <c r="Y89" s="309" t="s">
        <v>185</v>
      </c>
      <c r="Z89" s="309" t="s">
        <v>186</v>
      </c>
      <c r="AA89" s="309" t="str">
        <f t="shared" si="53"/>
        <v/>
      </c>
      <c r="AB89" s="305" t="s">
        <v>187</v>
      </c>
      <c r="AC89" s="306" t="str">
        <f t="shared" si="43"/>
        <v/>
      </c>
      <c r="AD89" s="515" t="str">
        <f t="shared" si="44"/>
        <v/>
      </c>
      <c r="AE89" s="307" t="str">
        <f>IFERROR(ROUNDDOWN(ROUNDDOWN(ROUND(L89*VLOOKUP(K89,【参考】数式用!$A$4:$F$57,MATCH("処遇改善加算Ⅳ",【参考】数式用!$C$3:$F$3,0)+2,0),0),0)*AA89*0.5,0), "")</f>
        <v/>
      </c>
      <c r="AF89" s="318"/>
      <c r="AG89" s="319"/>
      <c r="AH89" s="319"/>
      <c r="AI89" s="318"/>
      <c r="AJ89" s="320"/>
      <c r="AK89" s="326"/>
      <c r="AL89" s="324" t="str">
        <f t="shared" si="33"/>
        <v/>
      </c>
      <c r="AM89" s="325" t="str">
        <f t="shared" si="52"/>
        <v/>
      </c>
      <c r="AN89" s="255"/>
      <c r="AO89" s="557" t="str">
        <f>IFERROR(VLOOKUP(K89,【参考】数式用!$A$2:$N$57,14,FALSE),"")</f>
        <v/>
      </c>
      <c r="AP89" s="557" t="str">
        <f t="shared" si="34"/>
        <v/>
      </c>
      <c r="AQ89" s="561" t="str">
        <f t="shared" si="35"/>
        <v/>
      </c>
      <c r="AR89" s="540" t="str">
        <f t="shared" si="36"/>
        <v>入力済</v>
      </c>
      <c r="AS89" s="578" t="str">
        <f t="shared" si="45"/>
        <v/>
      </c>
      <c r="AT89" s="540" t="str">
        <f t="shared" si="37"/>
        <v>入力済</v>
      </c>
      <c r="AU89" s="540" t="str">
        <f t="shared" si="46"/>
        <v/>
      </c>
      <c r="AV89" s="540" t="str">
        <f t="shared" si="38"/>
        <v/>
      </c>
      <c r="AW89" s="557" t="str">
        <f t="shared" si="39"/>
        <v/>
      </c>
      <c r="AX89" s="578" t="str">
        <f t="shared" si="47"/>
        <v/>
      </c>
      <c r="AY89" s="540" t="str">
        <f>IFERROR(VLOOKUP(K89,【参考】数式用!$AR$5:$AS$39,2, FALSE), "")</f>
        <v/>
      </c>
      <c r="AZ89" s="557" t="str">
        <f t="shared" si="48"/>
        <v/>
      </c>
      <c r="BA89" s="560" t="str">
        <f t="shared" si="40"/>
        <v>入力済</v>
      </c>
      <c r="BB89" s="540" t="str">
        <f>IFERROR(VLOOKUP(K89,【参考】数式用!$AX$3:$AY$59, 2, FALSE), "")</f>
        <v/>
      </c>
      <c r="BC89" s="578" t="str">
        <f t="shared" si="49"/>
        <v/>
      </c>
      <c r="BD89" s="560" t="str">
        <f t="shared" si="41"/>
        <v>入力済</v>
      </c>
      <c r="BE89" s="577" t="str">
        <f t="shared" si="50"/>
        <v/>
      </c>
      <c r="BF89" s="560" t="str">
        <f t="shared" si="42"/>
        <v/>
      </c>
      <c r="BG89" s="597"/>
      <c r="BH89" s="593" t="str">
        <f t="shared" si="51"/>
        <v/>
      </c>
      <c r="BI89" s="616" t="str">
        <f>IF(BH89="Ⅱロ有り",ROUNDDOWN(L89*VLOOKUP(K89,【参考】数式用!$A$4:$J$42,10,FALSE)*AA89,0),"")</f>
        <v/>
      </c>
      <c r="BJ89" s="616" t="str">
        <f>IF(BH89="Ⅱロなし",ROUNDDOWN(L89*VLOOKUP(K89,【参考】数式用!$A$4:$J$42,8,FALSE)*AA89,0),"")</f>
        <v/>
      </c>
    </row>
    <row r="90" spans="1:62" ht="109.9" customHeight="1" thickBot="1">
      <c r="A90" s="303">
        <v>77</v>
      </c>
      <c r="B90" s="956" t="str">
        <f>IF(基本情報入力シート!B112="","",基本情報入力シート!B112)</f>
        <v/>
      </c>
      <c r="C90" s="957"/>
      <c r="D90" s="957"/>
      <c r="E90" s="957"/>
      <c r="F90" s="958"/>
      <c r="G90" s="304" t="str">
        <f>IF(基本情報入力シート!L112="", "", 基本情報入力シート!L112)</f>
        <v/>
      </c>
      <c r="H90" s="304" t="str">
        <f>IF(基本情報入力シート!Q112="", "", 基本情報入力シート!Q112)</f>
        <v/>
      </c>
      <c r="I90" s="304" t="str">
        <f>IF(基本情報入力シート!V112="", "", 基本情報入力シート!V112)</f>
        <v/>
      </c>
      <c r="J90" s="304" t="str">
        <f>IF(基本情報入力シート!W112="", "", 基本情報入力シート!W112)</f>
        <v/>
      </c>
      <c r="K90" s="304" t="str">
        <f>IF(基本情報入力シート!Z112="", "", 基本情報入力シート!Z112)</f>
        <v/>
      </c>
      <c r="L90" s="558" t="str">
        <f>IF(基本情報入力シート!AF112=0, "",基本情報入力シート!AF112)</f>
        <v/>
      </c>
      <c r="M90" s="588"/>
      <c r="N90" s="522" t="str">
        <f>IFERROR(VLOOKUP(K90,【参考】数式用!$A$2:$F$57,MATCH(M90,【参考】数式用!$C$3:$F$3,0)+2,0),"")</f>
        <v/>
      </c>
      <c r="O90" s="511"/>
      <c r="P90" s="555" t="str">
        <f>IFERROR(VLOOKUP(K90,【参考】数式用!$A$2:$F$57,MATCH(O90,【参考】数式用!$C$3:$F$3,0)+2,0),"")</f>
        <v/>
      </c>
      <c r="Q90" s="310" t="s">
        <v>118</v>
      </c>
      <c r="R90" s="308"/>
      <c r="S90" s="309" t="s">
        <v>183</v>
      </c>
      <c r="T90" s="308"/>
      <c r="U90" s="309" t="s">
        <v>184</v>
      </c>
      <c r="V90" s="308"/>
      <c r="W90" s="309" t="s">
        <v>183</v>
      </c>
      <c r="X90" s="308"/>
      <c r="Y90" s="309" t="s">
        <v>185</v>
      </c>
      <c r="Z90" s="309" t="s">
        <v>186</v>
      </c>
      <c r="AA90" s="309" t="str">
        <f t="shared" si="53"/>
        <v/>
      </c>
      <c r="AB90" s="305" t="s">
        <v>187</v>
      </c>
      <c r="AC90" s="306" t="str">
        <f t="shared" si="43"/>
        <v/>
      </c>
      <c r="AD90" s="515" t="str">
        <f t="shared" si="44"/>
        <v/>
      </c>
      <c r="AE90" s="307" t="str">
        <f>IFERROR(ROUNDDOWN(ROUNDDOWN(ROUND(L90*VLOOKUP(K90,【参考】数式用!$A$4:$F$57,MATCH("処遇改善加算Ⅳ",【参考】数式用!$C$3:$F$3,0)+2,0),0),0)*AA90*0.5,0), "")</f>
        <v/>
      </c>
      <c r="AF90" s="318"/>
      <c r="AG90" s="319"/>
      <c r="AH90" s="319"/>
      <c r="AI90" s="318"/>
      <c r="AJ90" s="320"/>
      <c r="AK90" s="326"/>
      <c r="AL90" s="324" t="str">
        <f t="shared" si="33"/>
        <v/>
      </c>
      <c r="AM90" s="325" t="str">
        <f t="shared" si="52"/>
        <v/>
      </c>
      <c r="AN90" s="255"/>
      <c r="AO90" s="557" t="str">
        <f>IFERROR(VLOOKUP(K90,【参考】数式用!$A$2:$N$57,14,FALSE),"")</f>
        <v/>
      </c>
      <c r="AP90" s="557" t="str">
        <f t="shared" si="34"/>
        <v/>
      </c>
      <c r="AQ90" s="561" t="str">
        <f t="shared" si="35"/>
        <v/>
      </c>
      <c r="AR90" s="540" t="str">
        <f t="shared" si="36"/>
        <v>入力済</v>
      </c>
      <c r="AS90" s="578" t="str">
        <f t="shared" si="45"/>
        <v/>
      </c>
      <c r="AT90" s="540" t="str">
        <f t="shared" si="37"/>
        <v>入力済</v>
      </c>
      <c r="AU90" s="540" t="str">
        <f t="shared" si="46"/>
        <v/>
      </c>
      <c r="AV90" s="540" t="str">
        <f t="shared" si="38"/>
        <v/>
      </c>
      <c r="AW90" s="557" t="str">
        <f t="shared" si="39"/>
        <v/>
      </c>
      <c r="AX90" s="578" t="str">
        <f t="shared" si="47"/>
        <v/>
      </c>
      <c r="AY90" s="540" t="str">
        <f>IFERROR(VLOOKUP(K90,【参考】数式用!$AR$5:$AS$39,2, FALSE), "")</f>
        <v/>
      </c>
      <c r="AZ90" s="557" t="str">
        <f t="shared" si="48"/>
        <v/>
      </c>
      <c r="BA90" s="560" t="str">
        <f t="shared" si="40"/>
        <v>入力済</v>
      </c>
      <c r="BB90" s="540" t="str">
        <f>IFERROR(VLOOKUP(K90,【参考】数式用!$AX$3:$AY$59, 2, FALSE), "")</f>
        <v/>
      </c>
      <c r="BC90" s="578" t="str">
        <f t="shared" si="49"/>
        <v/>
      </c>
      <c r="BD90" s="560" t="str">
        <f t="shared" si="41"/>
        <v>入力済</v>
      </c>
      <c r="BE90" s="577" t="str">
        <f t="shared" si="50"/>
        <v/>
      </c>
      <c r="BF90" s="560" t="str">
        <f t="shared" si="42"/>
        <v/>
      </c>
      <c r="BG90" s="597"/>
      <c r="BH90" s="593" t="str">
        <f t="shared" si="51"/>
        <v/>
      </c>
      <c r="BI90" s="616" t="str">
        <f>IF(BH90="Ⅱロ有り",ROUNDDOWN(L90*VLOOKUP(K90,【参考】数式用!$A$4:$J$42,10,FALSE)*AA90,0),"")</f>
        <v/>
      </c>
      <c r="BJ90" s="616" t="str">
        <f>IF(BH90="Ⅱロなし",ROUNDDOWN(L90*VLOOKUP(K90,【参考】数式用!$A$4:$J$42,8,FALSE)*AA90,0),"")</f>
        <v/>
      </c>
    </row>
    <row r="91" spans="1:62" ht="109.9" customHeight="1" thickBot="1">
      <c r="A91" s="303">
        <v>78</v>
      </c>
      <c r="B91" s="956" t="str">
        <f>IF(基本情報入力シート!B113="","",基本情報入力シート!B113)</f>
        <v/>
      </c>
      <c r="C91" s="957"/>
      <c r="D91" s="957"/>
      <c r="E91" s="957"/>
      <c r="F91" s="958"/>
      <c r="G91" s="304" t="str">
        <f>IF(基本情報入力シート!L113="", "", 基本情報入力シート!L113)</f>
        <v/>
      </c>
      <c r="H91" s="304" t="str">
        <f>IF(基本情報入力シート!Q113="", "", 基本情報入力シート!Q113)</f>
        <v/>
      </c>
      <c r="I91" s="304" t="str">
        <f>IF(基本情報入力シート!V113="", "", 基本情報入力シート!V113)</f>
        <v/>
      </c>
      <c r="J91" s="304" t="str">
        <f>IF(基本情報入力シート!W113="", "", 基本情報入力シート!W113)</f>
        <v/>
      </c>
      <c r="K91" s="304" t="str">
        <f>IF(基本情報入力シート!Z113="", "", 基本情報入力シート!Z113)</f>
        <v/>
      </c>
      <c r="L91" s="558" t="str">
        <f>IF(基本情報入力シート!AF113=0, "",基本情報入力シート!AF113)</f>
        <v/>
      </c>
      <c r="M91" s="588"/>
      <c r="N91" s="522" t="str">
        <f>IFERROR(VLOOKUP(K91,【参考】数式用!$A$2:$F$57,MATCH(M91,【参考】数式用!$C$3:$F$3,0)+2,0),"")</f>
        <v/>
      </c>
      <c r="O91" s="511"/>
      <c r="P91" s="555" t="str">
        <f>IFERROR(VLOOKUP(K91,【参考】数式用!$A$2:$F$57,MATCH(O91,【参考】数式用!$C$3:$F$3,0)+2,0),"")</f>
        <v/>
      </c>
      <c r="Q91" s="310" t="s">
        <v>118</v>
      </c>
      <c r="R91" s="308"/>
      <c r="S91" s="309" t="s">
        <v>183</v>
      </c>
      <c r="T91" s="308"/>
      <c r="U91" s="309" t="s">
        <v>184</v>
      </c>
      <c r="V91" s="308"/>
      <c r="W91" s="309" t="s">
        <v>183</v>
      </c>
      <c r="X91" s="308"/>
      <c r="Y91" s="309" t="s">
        <v>185</v>
      </c>
      <c r="Z91" s="309" t="s">
        <v>186</v>
      </c>
      <c r="AA91" s="309" t="str">
        <f t="shared" si="53"/>
        <v/>
      </c>
      <c r="AB91" s="305" t="s">
        <v>187</v>
      </c>
      <c r="AC91" s="306" t="str">
        <f t="shared" si="43"/>
        <v/>
      </c>
      <c r="AD91" s="515" t="str">
        <f t="shared" si="44"/>
        <v/>
      </c>
      <c r="AE91" s="307" t="str">
        <f>IFERROR(ROUNDDOWN(ROUNDDOWN(ROUND(L91*VLOOKUP(K91,【参考】数式用!$A$4:$F$57,MATCH("処遇改善加算Ⅳ",【参考】数式用!$C$3:$F$3,0)+2,0),0),0)*AA91*0.5,0), "")</f>
        <v/>
      </c>
      <c r="AF91" s="318"/>
      <c r="AG91" s="319"/>
      <c r="AH91" s="319"/>
      <c r="AI91" s="318"/>
      <c r="AJ91" s="320"/>
      <c r="AK91" s="326"/>
      <c r="AL91" s="324" t="str">
        <f t="shared" si="33"/>
        <v/>
      </c>
      <c r="AM91" s="325" t="str">
        <f t="shared" si="52"/>
        <v/>
      </c>
      <c r="AN91" s="255"/>
      <c r="AO91" s="557" t="str">
        <f>IFERROR(VLOOKUP(K91,【参考】数式用!$A$2:$N$57,14,FALSE),"")</f>
        <v/>
      </c>
      <c r="AP91" s="557" t="str">
        <f t="shared" si="34"/>
        <v/>
      </c>
      <c r="AQ91" s="561" t="str">
        <f t="shared" si="35"/>
        <v/>
      </c>
      <c r="AR91" s="540" t="str">
        <f t="shared" si="36"/>
        <v>入力済</v>
      </c>
      <c r="AS91" s="578" t="str">
        <f t="shared" si="45"/>
        <v/>
      </c>
      <c r="AT91" s="540" t="str">
        <f t="shared" si="37"/>
        <v>入力済</v>
      </c>
      <c r="AU91" s="540" t="str">
        <f t="shared" si="46"/>
        <v/>
      </c>
      <c r="AV91" s="540" t="str">
        <f t="shared" si="38"/>
        <v/>
      </c>
      <c r="AW91" s="557" t="str">
        <f t="shared" si="39"/>
        <v/>
      </c>
      <c r="AX91" s="578" t="str">
        <f t="shared" si="47"/>
        <v/>
      </c>
      <c r="AY91" s="540" t="str">
        <f>IFERROR(VLOOKUP(K91,【参考】数式用!$AR$5:$AS$39,2, FALSE), "")</f>
        <v/>
      </c>
      <c r="AZ91" s="557" t="str">
        <f t="shared" si="48"/>
        <v/>
      </c>
      <c r="BA91" s="560" t="str">
        <f t="shared" si="40"/>
        <v>入力済</v>
      </c>
      <c r="BB91" s="540" t="str">
        <f>IFERROR(VLOOKUP(K91,【参考】数式用!$AX$3:$AY$59, 2, FALSE), "")</f>
        <v/>
      </c>
      <c r="BC91" s="578" t="str">
        <f t="shared" si="49"/>
        <v/>
      </c>
      <c r="BD91" s="560" t="str">
        <f t="shared" si="41"/>
        <v>入力済</v>
      </c>
      <c r="BE91" s="577" t="str">
        <f t="shared" si="50"/>
        <v/>
      </c>
      <c r="BF91" s="560" t="str">
        <f t="shared" si="42"/>
        <v/>
      </c>
      <c r="BG91" s="597"/>
      <c r="BH91" s="593" t="str">
        <f t="shared" si="51"/>
        <v/>
      </c>
      <c r="BI91" s="616" t="str">
        <f>IF(BH91="Ⅱロ有り",ROUNDDOWN(L91*VLOOKUP(K91,【参考】数式用!$A$4:$J$42,10,FALSE)*AA91,0),"")</f>
        <v/>
      </c>
      <c r="BJ91" s="616" t="str">
        <f>IF(BH91="Ⅱロなし",ROUNDDOWN(L91*VLOOKUP(K91,【参考】数式用!$A$4:$J$42,8,FALSE)*AA91,0),"")</f>
        <v/>
      </c>
    </row>
    <row r="92" spans="1:62" ht="109.9" customHeight="1" thickBot="1">
      <c r="A92" s="303">
        <v>79</v>
      </c>
      <c r="B92" s="956" t="str">
        <f>IF(基本情報入力シート!B114="","",基本情報入力シート!B114)</f>
        <v/>
      </c>
      <c r="C92" s="957"/>
      <c r="D92" s="957"/>
      <c r="E92" s="957"/>
      <c r="F92" s="958"/>
      <c r="G92" s="304" t="str">
        <f>IF(基本情報入力シート!L114="", "", 基本情報入力シート!L114)</f>
        <v/>
      </c>
      <c r="H92" s="304" t="str">
        <f>IF(基本情報入力シート!Q114="", "", 基本情報入力シート!Q114)</f>
        <v/>
      </c>
      <c r="I92" s="304" t="str">
        <f>IF(基本情報入力シート!V114="", "", 基本情報入力シート!V114)</f>
        <v/>
      </c>
      <c r="J92" s="304" t="str">
        <f>IF(基本情報入力シート!W114="", "", 基本情報入力シート!W114)</f>
        <v/>
      </c>
      <c r="K92" s="304" t="str">
        <f>IF(基本情報入力シート!Z114="", "", 基本情報入力シート!Z114)</f>
        <v/>
      </c>
      <c r="L92" s="558" t="str">
        <f>IF(基本情報入力シート!AF114=0, "",基本情報入力シート!AF114)</f>
        <v/>
      </c>
      <c r="M92" s="588"/>
      <c r="N92" s="522" t="str">
        <f>IFERROR(VLOOKUP(K92,【参考】数式用!$A$2:$F$57,MATCH(M92,【参考】数式用!$C$3:$F$3,0)+2,0),"")</f>
        <v/>
      </c>
      <c r="O92" s="511"/>
      <c r="P92" s="555" t="str">
        <f>IFERROR(VLOOKUP(K92,【参考】数式用!$A$2:$F$57,MATCH(O92,【参考】数式用!$C$3:$F$3,0)+2,0),"")</f>
        <v/>
      </c>
      <c r="Q92" s="310" t="s">
        <v>118</v>
      </c>
      <c r="R92" s="308"/>
      <c r="S92" s="309" t="s">
        <v>183</v>
      </c>
      <c r="T92" s="308"/>
      <c r="U92" s="309" t="s">
        <v>184</v>
      </c>
      <c r="V92" s="308"/>
      <c r="W92" s="309" t="s">
        <v>183</v>
      </c>
      <c r="X92" s="308"/>
      <c r="Y92" s="309" t="s">
        <v>185</v>
      </c>
      <c r="Z92" s="309" t="s">
        <v>186</v>
      </c>
      <c r="AA92" s="309" t="str">
        <f t="shared" si="53"/>
        <v/>
      </c>
      <c r="AB92" s="305" t="s">
        <v>187</v>
      </c>
      <c r="AC92" s="306" t="str">
        <f t="shared" si="43"/>
        <v/>
      </c>
      <c r="AD92" s="515" t="str">
        <f t="shared" si="44"/>
        <v/>
      </c>
      <c r="AE92" s="307" t="str">
        <f>IFERROR(ROUNDDOWN(ROUNDDOWN(ROUND(L92*VLOOKUP(K92,【参考】数式用!$A$4:$F$57,MATCH("処遇改善加算Ⅳ",【参考】数式用!$C$3:$F$3,0)+2,0),0),0)*AA92*0.5,0), "")</f>
        <v/>
      </c>
      <c r="AF92" s="318"/>
      <c r="AG92" s="319"/>
      <c r="AH92" s="319"/>
      <c r="AI92" s="318"/>
      <c r="AJ92" s="320"/>
      <c r="AK92" s="326"/>
      <c r="AL92" s="324" t="str">
        <f t="shared" si="33"/>
        <v/>
      </c>
      <c r="AM92" s="325" t="str">
        <f t="shared" si="52"/>
        <v/>
      </c>
      <c r="AN92" s="255"/>
      <c r="AO92" s="557" t="str">
        <f>IFERROR(VLOOKUP(K92,【参考】数式用!$A$2:$N$57,14,FALSE),"")</f>
        <v/>
      </c>
      <c r="AP92" s="557" t="str">
        <f t="shared" si="34"/>
        <v/>
      </c>
      <c r="AQ92" s="561" t="str">
        <f t="shared" si="35"/>
        <v/>
      </c>
      <c r="AR92" s="540" t="str">
        <f t="shared" si="36"/>
        <v>入力済</v>
      </c>
      <c r="AS92" s="578" t="str">
        <f t="shared" si="45"/>
        <v/>
      </c>
      <c r="AT92" s="540" t="str">
        <f t="shared" si="37"/>
        <v>入力済</v>
      </c>
      <c r="AU92" s="540" t="str">
        <f t="shared" si="46"/>
        <v/>
      </c>
      <c r="AV92" s="540" t="str">
        <f t="shared" si="38"/>
        <v/>
      </c>
      <c r="AW92" s="557" t="str">
        <f t="shared" si="39"/>
        <v/>
      </c>
      <c r="AX92" s="578" t="str">
        <f t="shared" si="47"/>
        <v/>
      </c>
      <c r="AY92" s="540" t="str">
        <f>IFERROR(VLOOKUP(K92,【参考】数式用!$AR$5:$AS$39,2, FALSE), "")</f>
        <v/>
      </c>
      <c r="AZ92" s="557" t="str">
        <f t="shared" si="48"/>
        <v/>
      </c>
      <c r="BA92" s="560" t="str">
        <f t="shared" si="40"/>
        <v>入力済</v>
      </c>
      <c r="BB92" s="540" t="str">
        <f>IFERROR(VLOOKUP(K92,【参考】数式用!$AX$3:$AY$59, 2, FALSE), "")</f>
        <v/>
      </c>
      <c r="BC92" s="578" t="str">
        <f t="shared" si="49"/>
        <v/>
      </c>
      <c r="BD92" s="560" t="str">
        <f t="shared" si="41"/>
        <v>入力済</v>
      </c>
      <c r="BE92" s="577" t="str">
        <f t="shared" si="50"/>
        <v/>
      </c>
      <c r="BF92" s="560" t="str">
        <f t="shared" si="42"/>
        <v/>
      </c>
      <c r="BG92" s="597"/>
      <c r="BH92" s="593" t="str">
        <f t="shared" si="51"/>
        <v/>
      </c>
      <c r="BI92" s="616" t="str">
        <f>IF(BH92="Ⅱロ有り",ROUNDDOWN(L92*VLOOKUP(K92,【参考】数式用!$A$4:$J$42,10,FALSE)*AA92,0),"")</f>
        <v/>
      </c>
      <c r="BJ92" s="616" t="str">
        <f>IF(BH92="Ⅱロなし",ROUNDDOWN(L92*VLOOKUP(K92,【参考】数式用!$A$4:$J$42,8,FALSE)*AA92,0),"")</f>
        <v/>
      </c>
    </row>
    <row r="93" spans="1:62" ht="109.9" customHeight="1" thickBot="1">
      <c r="A93" s="303">
        <v>80</v>
      </c>
      <c r="B93" s="956" t="str">
        <f>IF(基本情報入力シート!B115="","",基本情報入力シート!B115)</f>
        <v/>
      </c>
      <c r="C93" s="957"/>
      <c r="D93" s="957"/>
      <c r="E93" s="957"/>
      <c r="F93" s="958"/>
      <c r="G93" s="304" t="str">
        <f>IF(基本情報入力シート!L115="", "", 基本情報入力シート!L115)</f>
        <v/>
      </c>
      <c r="H93" s="304" t="str">
        <f>IF(基本情報入力シート!Q115="", "", 基本情報入力シート!Q115)</f>
        <v/>
      </c>
      <c r="I93" s="304" t="str">
        <f>IF(基本情報入力シート!V115="", "", 基本情報入力シート!V115)</f>
        <v/>
      </c>
      <c r="J93" s="304" t="str">
        <f>IF(基本情報入力シート!W115="", "", 基本情報入力シート!W115)</f>
        <v/>
      </c>
      <c r="K93" s="304" t="str">
        <f>IF(基本情報入力シート!Z115="", "", 基本情報入力シート!Z115)</f>
        <v/>
      </c>
      <c r="L93" s="558" t="str">
        <f>IF(基本情報入力シート!AF115=0, "",基本情報入力シート!AF115)</f>
        <v/>
      </c>
      <c r="M93" s="588"/>
      <c r="N93" s="522" t="str">
        <f>IFERROR(VLOOKUP(K93,【参考】数式用!$A$2:$F$57,MATCH(M93,【参考】数式用!$C$3:$F$3,0)+2,0),"")</f>
        <v/>
      </c>
      <c r="O93" s="511"/>
      <c r="P93" s="555" t="str">
        <f>IFERROR(VLOOKUP(K93,【参考】数式用!$A$2:$F$57,MATCH(O93,【参考】数式用!$C$3:$F$3,0)+2,0),"")</f>
        <v/>
      </c>
      <c r="Q93" s="310" t="s">
        <v>118</v>
      </c>
      <c r="R93" s="308"/>
      <c r="S93" s="309" t="s">
        <v>183</v>
      </c>
      <c r="T93" s="308"/>
      <c r="U93" s="309" t="s">
        <v>184</v>
      </c>
      <c r="V93" s="308"/>
      <c r="W93" s="309" t="s">
        <v>183</v>
      </c>
      <c r="X93" s="308"/>
      <c r="Y93" s="309" t="s">
        <v>185</v>
      </c>
      <c r="Z93" s="309" t="s">
        <v>186</v>
      </c>
      <c r="AA93" s="309" t="str">
        <f t="shared" si="53"/>
        <v/>
      </c>
      <c r="AB93" s="305" t="s">
        <v>187</v>
      </c>
      <c r="AC93" s="306" t="str">
        <f t="shared" si="43"/>
        <v/>
      </c>
      <c r="AD93" s="515" t="str">
        <f t="shared" si="44"/>
        <v/>
      </c>
      <c r="AE93" s="307" t="str">
        <f>IFERROR(ROUNDDOWN(ROUNDDOWN(ROUND(L93*VLOOKUP(K93,【参考】数式用!$A$4:$F$57,MATCH("処遇改善加算Ⅳ",【参考】数式用!$C$3:$F$3,0)+2,0),0),0)*AA93*0.5,0), "")</f>
        <v/>
      </c>
      <c r="AF93" s="318"/>
      <c r="AG93" s="319"/>
      <c r="AH93" s="319"/>
      <c r="AI93" s="318"/>
      <c r="AJ93" s="320"/>
      <c r="AK93" s="326"/>
      <c r="AL93" s="324" t="str">
        <f t="shared" si="33"/>
        <v/>
      </c>
      <c r="AM93" s="325" t="str">
        <f t="shared" si="52"/>
        <v/>
      </c>
      <c r="AN93" s="255"/>
      <c r="AO93" s="557" t="str">
        <f>IFERROR(VLOOKUP(K93,【参考】数式用!$A$2:$N$57,14,FALSE),"")</f>
        <v/>
      </c>
      <c r="AP93" s="557" t="str">
        <f t="shared" si="34"/>
        <v/>
      </c>
      <c r="AQ93" s="561" t="str">
        <f t="shared" si="35"/>
        <v/>
      </c>
      <c r="AR93" s="540" t="str">
        <f t="shared" si="36"/>
        <v>入力済</v>
      </c>
      <c r="AS93" s="578" t="str">
        <f t="shared" si="45"/>
        <v/>
      </c>
      <c r="AT93" s="540" t="str">
        <f t="shared" si="37"/>
        <v>入力済</v>
      </c>
      <c r="AU93" s="540" t="str">
        <f t="shared" si="46"/>
        <v/>
      </c>
      <c r="AV93" s="540" t="str">
        <f t="shared" si="38"/>
        <v/>
      </c>
      <c r="AW93" s="557" t="str">
        <f t="shared" si="39"/>
        <v/>
      </c>
      <c r="AX93" s="578" t="str">
        <f t="shared" si="47"/>
        <v/>
      </c>
      <c r="AY93" s="540" t="str">
        <f>IFERROR(VLOOKUP(K93,【参考】数式用!$AR$5:$AS$39,2, FALSE), "")</f>
        <v/>
      </c>
      <c r="AZ93" s="557" t="str">
        <f t="shared" si="48"/>
        <v/>
      </c>
      <c r="BA93" s="560" t="str">
        <f t="shared" si="40"/>
        <v>入力済</v>
      </c>
      <c r="BB93" s="540" t="str">
        <f>IFERROR(VLOOKUP(K93,【参考】数式用!$AX$3:$AY$59, 2, FALSE), "")</f>
        <v/>
      </c>
      <c r="BC93" s="578" t="str">
        <f t="shared" si="49"/>
        <v/>
      </c>
      <c r="BD93" s="560" t="str">
        <f t="shared" si="41"/>
        <v>入力済</v>
      </c>
      <c r="BE93" s="577" t="str">
        <f t="shared" si="50"/>
        <v/>
      </c>
      <c r="BF93" s="560" t="str">
        <f t="shared" si="42"/>
        <v/>
      </c>
      <c r="BG93" s="597"/>
      <c r="BH93" s="593" t="str">
        <f t="shared" si="51"/>
        <v/>
      </c>
      <c r="BI93" s="616" t="str">
        <f>IF(BH93="Ⅱロ有り",ROUNDDOWN(L93*VLOOKUP(K93,【参考】数式用!$A$4:$J$42,10,FALSE)*AA93,0),"")</f>
        <v/>
      </c>
      <c r="BJ93" s="616" t="str">
        <f>IF(BH93="Ⅱロなし",ROUNDDOWN(L93*VLOOKUP(K93,【参考】数式用!$A$4:$J$42,8,FALSE)*AA93,0),"")</f>
        <v/>
      </c>
    </row>
    <row r="94" spans="1:62" ht="109.9" customHeight="1" thickBot="1">
      <c r="A94" s="303">
        <v>81</v>
      </c>
      <c r="B94" s="956" t="str">
        <f>IF(基本情報入力シート!B116="","",基本情報入力シート!B116)</f>
        <v/>
      </c>
      <c r="C94" s="957"/>
      <c r="D94" s="957"/>
      <c r="E94" s="957"/>
      <c r="F94" s="958"/>
      <c r="G94" s="304" t="str">
        <f>IF(基本情報入力シート!L116="", "", 基本情報入力シート!L116)</f>
        <v/>
      </c>
      <c r="H94" s="304" t="str">
        <f>IF(基本情報入力シート!Q116="", "", 基本情報入力シート!Q116)</f>
        <v/>
      </c>
      <c r="I94" s="304" t="str">
        <f>IF(基本情報入力シート!V116="", "", 基本情報入力シート!V116)</f>
        <v/>
      </c>
      <c r="J94" s="304" t="str">
        <f>IF(基本情報入力シート!W116="", "", 基本情報入力シート!W116)</f>
        <v/>
      </c>
      <c r="K94" s="304" t="str">
        <f>IF(基本情報入力シート!Z116="", "", 基本情報入力シート!Z116)</f>
        <v/>
      </c>
      <c r="L94" s="558" t="str">
        <f>IF(基本情報入力シート!AF116=0, "",基本情報入力シート!AF116)</f>
        <v/>
      </c>
      <c r="M94" s="588"/>
      <c r="N94" s="522" t="str">
        <f>IFERROR(VLOOKUP(K94,【参考】数式用!$A$2:$F$57,MATCH(M94,【参考】数式用!$C$3:$F$3,0)+2,0),"")</f>
        <v/>
      </c>
      <c r="O94" s="511"/>
      <c r="P94" s="555" t="str">
        <f>IFERROR(VLOOKUP(K94,【参考】数式用!$A$2:$F$57,MATCH(O94,【参考】数式用!$C$3:$F$3,0)+2,0),"")</f>
        <v/>
      </c>
      <c r="Q94" s="310" t="s">
        <v>118</v>
      </c>
      <c r="R94" s="308"/>
      <c r="S94" s="309" t="s">
        <v>183</v>
      </c>
      <c r="T94" s="308"/>
      <c r="U94" s="309" t="s">
        <v>184</v>
      </c>
      <c r="V94" s="308"/>
      <c r="W94" s="309" t="s">
        <v>183</v>
      </c>
      <c r="X94" s="308"/>
      <c r="Y94" s="309" t="s">
        <v>185</v>
      </c>
      <c r="Z94" s="309" t="s">
        <v>186</v>
      </c>
      <c r="AA94" s="309" t="str">
        <f t="shared" si="53"/>
        <v/>
      </c>
      <c r="AB94" s="305" t="s">
        <v>187</v>
      </c>
      <c r="AC94" s="306" t="str">
        <f t="shared" si="43"/>
        <v/>
      </c>
      <c r="AD94" s="515" t="str">
        <f t="shared" si="44"/>
        <v/>
      </c>
      <c r="AE94" s="307" t="str">
        <f>IFERROR(ROUNDDOWN(ROUNDDOWN(ROUND(L94*VLOOKUP(K94,【参考】数式用!$A$4:$F$57,MATCH("処遇改善加算Ⅳ",【参考】数式用!$C$3:$F$3,0)+2,0),0),0)*AA94*0.5,0), "")</f>
        <v/>
      </c>
      <c r="AF94" s="318"/>
      <c r="AG94" s="319"/>
      <c r="AH94" s="319"/>
      <c r="AI94" s="318"/>
      <c r="AJ94" s="320"/>
      <c r="AK94" s="326"/>
      <c r="AL94" s="324" t="str">
        <f t="shared" si="33"/>
        <v/>
      </c>
      <c r="AM94" s="325" t="str">
        <f t="shared" si="52"/>
        <v/>
      </c>
      <c r="AN94" s="255"/>
      <c r="AO94" s="557" t="str">
        <f>IFERROR(VLOOKUP(K94,【参考】数式用!$A$2:$N$57,14,FALSE),"")</f>
        <v/>
      </c>
      <c r="AP94" s="557" t="str">
        <f t="shared" si="34"/>
        <v/>
      </c>
      <c r="AQ94" s="561" t="str">
        <f t="shared" si="35"/>
        <v/>
      </c>
      <c r="AR94" s="540" t="str">
        <f t="shared" si="36"/>
        <v>入力済</v>
      </c>
      <c r="AS94" s="578" t="str">
        <f t="shared" si="45"/>
        <v/>
      </c>
      <c r="AT94" s="540" t="str">
        <f t="shared" si="37"/>
        <v>入力済</v>
      </c>
      <c r="AU94" s="540" t="str">
        <f t="shared" si="46"/>
        <v/>
      </c>
      <c r="AV94" s="540" t="str">
        <f t="shared" si="38"/>
        <v/>
      </c>
      <c r="AW94" s="557" t="str">
        <f t="shared" si="39"/>
        <v/>
      </c>
      <c r="AX94" s="578" t="str">
        <f t="shared" si="47"/>
        <v/>
      </c>
      <c r="AY94" s="540" t="str">
        <f>IFERROR(VLOOKUP(K94,【参考】数式用!$AR$5:$AS$39,2, FALSE), "")</f>
        <v/>
      </c>
      <c r="AZ94" s="557" t="str">
        <f t="shared" si="48"/>
        <v/>
      </c>
      <c r="BA94" s="560" t="str">
        <f t="shared" si="40"/>
        <v>入力済</v>
      </c>
      <c r="BB94" s="540" t="str">
        <f>IFERROR(VLOOKUP(K94,【参考】数式用!$AX$3:$AY$59, 2, FALSE), "")</f>
        <v/>
      </c>
      <c r="BC94" s="578" t="str">
        <f t="shared" si="49"/>
        <v/>
      </c>
      <c r="BD94" s="560" t="str">
        <f t="shared" si="41"/>
        <v>入力済</v>
      </c>
      <c r="BE94" s="577" t="str">
        <f t="shared" si="50"/>
        <v/>
      </c>
      <c r="BF94" s="560" t="str">
        <f t="shared" si="42"/>
        <v/>
      </c>
      <c r="BG94" s="597"/>
      <c r="BH94" s="593" t="str">
        <f t="shared" si="51"/>
        <v/>
      </c>
      <c r="BI94" s="616" t="str">
        <f>IF(BH94="Ⅱロ有り",ROUNDDOWN(L94*VLOOKUP(K94,【参考】数式用!$A$4:$J$42,10,FALSE)*AA94,0),"")</f>
        <v/>
      </c>
      <c r="BJ94" s="616" t="str">
        <f>IF(BH94="Ⅱロなし",ROUNDDOWN(L94*VLOOKUP(K94,【参考】数式用!$A$4:$J$42,8,FALSE)*AA94,0),"")</f>
        <v/>
      </c>
    </row>
    <row r="95" spans="1:62" ht="109.9" customHeight="1" thickBot="1">
      <c r="A95" s="303">
        <v>82</v>
      </c>
      <c r="B95" s="956" t="str">
        <f>IF(基本情報入力シート!B117="","",基本情報入力シート!B117)</f>
        <v/>
      </c>
      <c r="C95" s="957"/>
      <c r="D95" s="957"/>
      <c r="E95" s="957"/>
      <c r="F95" s="958"/>
      <c r="G95" s="304" t="str">
        <f>IF(基本情報入力シート!L117="", "", 基本情報入力シート!L117)</f>
        <v/>
      </c>
      <c r="H95" s="304" t="str">
        <f>IF(基本情報入力シート!Q117="", "", 基本情報入力シート!Q117)</f>
        <v/>
      </c>
      <c r="I95" s="304" t="str">
        <f>IF(基本情報入力シート!V117="", "", 基本情報入力シート!V117)</f>
        <v/>
      </c>
      <c r="J95" s="304" t="str">
        <f>IF(基本情報入力シート!W117="", "", 基本情報入力シート!W117)</f>
        <v/>
      </c>
      <c r="K95" s="304" t="str">
        <f>IF(基本情報入力シート!Z117="", "", 基本情報入力シート!Z117)</f>
        <v/>
      </c>
      <c r="L95" s="558" t="str">
        <f>IF(基本情報入力シート!AF117=0, "",基本情報入力シート!AF117)</f>
        <v/>
      </c>
      <c r="M95" s="588"/>
      <c r="N95" s="522" t="str">
        <f>IFERROR(VLOOKUP(K95,【参考】数式用!$A$2:$F$57,MATCH(M95,【参考】数式用!$C$3:$F$3,0)+2,0),"")</f>
        <v/>
      </c>
      <c r="O95" s="511"/>
      <c r="P95" s="555" t="str">
        <f>IFERROR(VLOOKUP(K95,【参考】数式用!$A$2:$F$57,MATCH(O95,【参考】数式用!$C$3:$F$3,0)+2,0),"")</f>
        <v/>
      </c>
      <c r="Q95" s="310" t="s">
        <v>118</v>
      </c>
      <c r="R95" s="308"/>
      <c r="S95" s="309" t="s">
        <v>183</v>
      </c>
      <c r="T95" s="308"/>
      <c r="U95" s="309" t="s">
        <v>184</v>
      </c>
      <c r="V95" s="308"/>
      <c r="W95" s="309" t="s">
        <v>183</v>
      </c>
      <c r="X95" s="308"/>
      <c r="Y95" s="309" t="s">
        <v>185</v>
      </c>
      <c r="Z95" s="309" t="s">
        <v>186</v>
      </c>
      <c r="AA95" s="309" t="str">
        <f t="shared" si="53"/>
        <v/>
      </c>
      <c r="AB95" s="305" t="s">
        <v>187</v>
      </c>
      <c r="AC95" s="306" t="str">
        <f t="shared" si="43"/>
        <v/>
      </c>
      <c r="AD95" s="515" t="str">
        <f t="shared" si="44"/>
        <v/>
      </c>
      <c r="AE95" s="307" t="str">
        <f>IFERROR(ROUNDDOWN(ROUNDDOWN(ROUND(L95*VLOOKUP(K95,【参考】数式用!$A$4:$F$57,MATCH("処遇改善加算Ⅳ",【参考】数式用!$C$3:$F$3,0)+2,0),0),0)*AA95*0.5,0), "")</f>
        <v/>
      </c>
      <c r="AF95" s="318"/>
      <c r="AG95" s="319"/>
      <c r="AH95" s="319"/>
      <c r="AI95" s="318"/>
      <c r="AJ95" s="320"/>
      <c r="AK95" s="326"/>
      <c r="AL95" s="324" t="str">
        <f t="shared" si="33"/>
        <v/>
      </c>
      <c r="AM95" s="325" t="str">
        <f t="shared" si="52"/>
        <v/>
      </c>
      <c r="AN95" s="255"/>
      <c r="AO95" s="557" t="str">
        <f>IFERROR(VLOOKUP(K95,【参考】数式用!$A$2:$N$57,14,FALSE),"")</f>
        <v/>
      </c>
      <c r="AP95" s="557" t="str">
        <f t="shared" si="34"/>
        <v/>
      </c>
      <c r="AQ95" s="561" t="str">
        <f t="shared" si="35"/>
        <v/>
      </c>
      <c r="AR95" s="540" t="str">
        <f t="shared" si="36"/>
        <v>入力済</v>
      </c>
      <c r="AS95" s="578" t="str">
        <f t="shared" si="45"/>
        <v/>
      </c>
      <c r="AT95" s="540" t="str">
        <f t="shared" si="37"/>
        <v>入力済</v>
      </c>
      <c r="AU95" s="540" t="str">
        <f t="shared" si="46"/>
        <v/>
      </c>
      <c r="AV95" s="540" t="str">
        <f t="shared" si="38"/>
        <v/>
      </c>
      <c r="AW95" s="557" t="str">
        <f t="shared" si="39"/>
        <v/>
      </c>
      <c r="AX95" s="578" t="str">
        <f t="shared" si="47"/>
        <v/>
      </c>
      <c r="AY95" s="540" t="str">
        <f>IFERROR(VLOOKUP(K95,【参考】数式用!$AR$5:$AS$39,2, FALSE), "")</f>
        <v/>
      </c>
      <c r="AZ95" s="557" t="str">
        <f t="shared" si="48"/>
        <v/>
      </c>
      <c r="BA95" s="560" t="str">
        <f t="shared" si="40"/>
        <v>入力済</v>
      </c>
      <c r="BB95" s="540" t="str">
        <f>IFERROR(VLOOKUP(K95,【参考】数式用!$AX$3:$AY$59, 2, FALSE), "")</f>
        <v/>
      </c>
      <c r="BC95" s="578" t="str">
        <f t="shared" si="49"/>
        <v/>
      </c>
      <c r="BD95" s="560" t="str">
        <f t="shared" si="41"/>
        <v>入力済</v>
      </c>
      <c r="BE95" s="577" t="str">
        <f t="shared" si="50"/>
        <v/>
      </c>
      <c r="BF95" s="560" t="str">
        <f t="shared" si="42"/>
        <v/>
      </c>
      <c r="BG95" s="597"/>
      <c r="BH95" s="593" t="str">
        <f t="shared" si="51"/>
        <v/>
      </c>
      <c r="BI95" s="616" t="str">
        <f>IF(BH95="Ⅱロ有り",ROUNDDOWN(L95*VLOOKUP(K95,【参考】数式用!$A$4:$J$42,10,FALSE)*AA95,0),"")</f>
        <v/>
      </c>
      <c r="BJ95" s="616" t="str">
        <f>IF(BH95="Ⅱロなし",ROUNDDOWN(L95*VLOOKUP(K95,【参考】数式用!$A$4:$J$42,8,FALSE)*AA95,0),"")</f>
        <v/>
      </c>
    </row>
    <row r="96" spans="1:62" ht="109.9" customHeight="1" thickBot="1">
      <c r="A96" s="303">
        <v>83</v>
      </c>
      <c r="B96" s="956" t="str">
        <f>IF(基本情報入力シート!B118="","",基本情報入力シート!B118)</f>
        <v/>
      </c>
      <c r="C96" s="957"/>
      <c r="D96" s="957"/>
      <c r="E96" s="957"/>
      <c r="F96" s="958"/>
      <c r="G96" s="304" t="str">
        <f>IF(基本情報入力シート!L118="", "", 基本情報入力シート!L118)</f>
        <v/>
      </c>
      <c r="H96" s="304" t="str">
        <f>IF(基本情報入力シート!Q118="", "", 基本情報入力シート!Q118)</f>
        <v/>
      </c>
      <c r="I96" s="304" t="str">
        <f>IF(基本情報入力シート!V118="", "", 基本情報入力シート!V118)</f>
        <v/>
      </c>
      <c r="J96" s="304" t="str">
        <f>IF(基本情報入力シート!W118="", "", 基本情報入力シート!W118)</f>
        <v/>
      </c>
      <c r="K96" s="304" t="str">
        <f>IF(基本情報入力シート!Z118="", "", 基本情報入力シート!Z118)</f>
        <v/>
      </c>
      <c r="L96" s="558" t="str">
        <f>IF(基本情報入力シート!AF118=0, "",基本情報入力シート!AF118)</f>
        <v/>
      </c>
      <c r="M96" s="588"/>
      <c r="N96" s="522" t="str">
        <f>IFERROR(VLOOKUP(K96,【参考】数式用!$A$2:$F$57,MATCH(M96,【参考】数式用!$C$3:$F$3,0)+2,0),"")</f>
        <v/>
      </c>
      <c r="O96" s="511"/>
      <c r="P96" s="555" t="str">
        <f>IFERROR(VLOOKUP(K96,【参考】数式用!$A$2:$F$57,MATCH(O96,【参考】数式用!$C$3:$F$3,0)+2,0),"")</f>
        <v/>
      </c>
      <c r="Q96" s="310" t="s">
        <v>118</v>
      </c>
      <c r="R96" s="308"/>
      <c r="S96" s="309" t="s">
        <v>183</v>
      </c>
      <c r="T96" s="308"/>
      <c r="U96" s="309" t="s">
        <v>184</v>
      </c>
      <c r="V96" s="308"/>
      <c r="W96" s="309" t="s">
        <v>183</v>
      </c>
      <c r="X96" s="308"/>
      <c r="Y96" s="309" t="s">
        <v>185</v>
      </c>
      <c r="Z96" s="309" t="s">
        <v>186</v>
      </c>
      <c r="AA96" s="309" t="str">
        <f t="shared" si="53"/>
        <v/>
      </c>
      <c r="AB96" s="305" t="s">
        <v>187</v>
      </c>
      <c r="AC96" s="306" t="str">
        <f t="shared" si="43"/>
        <v/>
      </c>
      <c r="AD96" s="515" t="str">
        <f t="shared" si="44"/>
        <v/>
      </c>
      <c r="AE96" s="307" t="str">
        <f>IFERROR(ROUNDDOWN(ROUNDDOWN(ROUND(L96*VLOOKUP(K96,【参考】数式用!$A$4:$F$57,MATCH("処遇改善加算Ⅳ",【参考】数式用!$C$3:$F$3,0)+2,0),0),0)*AA96*0.5,0), "")</f>
        <v/>
      </c>
      <c r="AF96" s="318"/>
      <c r="AG96" s="319"/>
      <c r="AH96" s="319"/>
      <c r="AI96" s="318"/>
      <c r="AJ96" s="320"/>
      <c r="AK96" s="326"/>
      <c r="AL96" s="324" t="str">
        <f t="shared" si="33"/>
        <v/>
      </c>
      <c r="AM96" s="325" t="str">
        <f t="shared" si="52"/>
        <v/>
      </c>
      <c r="AN96" s="255"/>
      <c r="AO96" s="557" t="str">
        <f>IFERROR(VLOOKUP(K96,【参考】数式用!$A$2:$N$57,14,FALSE),"")</f>
        <v/>
      </c>
      <c r="AP96" s="557" t="str">
        <f t="shared" si="34"/>
        <v/>
      </c>
      <c r="AQ96" s="561" t="str">
        <f t="shared" si="35"/>
        <v/>
      </c>
      <c r="AR96" s="540" t="str">
        <f t="shared" si="36"/>
        <v>入力済</v>
      </c>
      <c r="AS96" s="578" t="str">
        <f t="shared" si="45"/>
        <v/>
      </c>
      <c r="AT96" s="540" t="str">
        <f t="shared" si="37"/>
        <v>入力済</v>
      </c>
      <c r="AU96" s="540" t="str">
        <f t="shared" si="46"/>
        <v/>
      </c>
      <c r="AV96" s="540" t="str">
        <f t="shared" si="38"/>
        <v/>
      </c>
      <c r="AW96" s="557" t="str">
        <f t="shared" si="39"/>
        <v/>
      </c>
      <c r="AX96" s="578" t="str">
        <f t="shared" si="47"/>
        <v/>
      </c>
      <c r="AY96" s="540" t="str">
        <f>IFERROR(VLOOKUP(K96,【参考】数式用!$AR$5:$AS$39,2, FALSE), "")</f>
        <v/>
      </c>
      <c r="AZ96" s="557" t="str">
        <f t="shared" si="48"/>
        <v/>
      </c>
      <c r="BA96" s="560" t="str">
        <f t="shared" si="40"/>
        <v>入力済</v>
      </c>
      <c r="BB96" s="540" t="str">
        <f>IFERROR(VLOOKUP(K96,【参考】数式用!$AX$3:$AY$59, 2, FALSE), "")</f>
        <v/>
      </c>
      <c r="BC96" s="578" t="str">
        <f t="shared" si="49"/>
        <v/>
      </c>
      <c r="BD96" s="560" t="str">
        <f t="shared" si="41"/>
        <v>入力済</v>
      </c>
      <c r="BE96" s="577" t="str">
        <f t="shared" si="50"/>
        <v/>
      </c>
      <c r="BF96" s="560" t="str">
        <f t="shared" si="42"/>
        <v/>
      </c>
      <c r="BG96" s="597"/>
      <c r="BH96" s="593" t="str">
        <f t="shared" si="51"/>
        <v/>
      </c>
      <c r="BI96" s="616" t="str">
        <f>IF(BH96="Ⅱロ有り",ROUNDDOWN(L96*VLOOKUP(K96,【参考】数式用!$A$4:$J$42,10,FALSE)*AA96,0),"")</f>
        <v/>
      </c>
      <c r="BJ96" s="616" t="str">
        <f>IF(BH96="Ⅱロなし",ROUNDDOWN(L96*VLOOKUP(K96,【参考】数式用!$A$4:$J$42,8,FALSE)*AA96,0),"")</f>
        <v/>
      </c>
    </row>
    <row r="97" spans="1:62" ht="109.9" customHeight="1" thickBot="1">
      <c r="A97" s="303">
        <v>84</v>
      </c>
      <c r="B97" s="956" t="str">
        <f>IF(基本情報入力シート!B119="","",基本情報入力シート!B119)</f>
        <v/>
      </c>
      <c r="C97" s="957"/>
      <c r="D97" s="957"/>
      <c r="E97" s="957"/>
      <c r="F97" s="958"/>
      <c r="G97" s="304" t="str">
        <f>IF(基本情報入力シート!L119="", "", 基本情報入力シート!L119)</f>
        <v/>
      </c>
      <c r="H97" s="304" t="str">
        <f>IF(基本情報入力シート!Q119="", "", 基本情報入力シート!Q119)</f>
        <v/>
      </c>
      <c r="I97" s="304" t="str">
        <f>IF(基本情報入力シート!V119="", "", 基本情報入力シート!V119)</f>
        <v/>
      </c>
      <c r="J97" s="304" t="str">
        <f>IF(基本情報入力シート!W119="", "", 基本情報入力シート!W119)</f>
        <v/>
      </c>
      <c r="K97" s="304" t="str">
        <f>IF(基本情報入力シート!Z119="", "", 基本情報入力シート!Z119)</f>
        <v/>
      </c>
      <c r="L97" s="558" t="str">
        <f>IF(基本情報入力シート!AF119=0, "",基本情報入力シート!AF119)</f>
        <v/>
      </c>
      <c r="M97" s="588"/>
      <c r="N97" s="522" t="str">
        <f>IFERROR(VLOOKUP(K97,【参考】数式用!$A$2:$F$57,MATCH(M97,【参考】数式用!$C$3:$F$3,0)+2,0),"")</f>
        <v/>
      </c>
      <c r="O97" s="511"/>
      <c r="P97" s="555" t="str">
        <f>IFERROR(VLOOKUP(K97,【参考】数式用!$A$2:$F$57,MATCH(O97,【参考】数式用!$C$3:$F$3,0)+2,0),"")</f>
        <v/>
      </c>
      <c r="Q97" s="310" t="s">
        <v>118</v>
      </c>
      <c r="R97" s="308"/>
      <c r="S97" s="309" t="s">
        <v>183</v>
      </c>
      <c r="T97" s="308"/>
      <c r="U97" s="309" t="s">
        <v>184</v>
      </c>
      <c r="V97" s="308"/>
      <c r="W97" s="309" t="s">
        <v>183</v>
      </c>
      <c r="X97" s="308"/>
      <c r="Y97" s="309" t="s">
        <v>185</v>
      </c>
      <c r="Z97" s="309" t="s">
        <v>186</v>
      </c>
      <c r="AA97" s="309" t="str">
        <f t="shared" si="53"/>
        <v/>
      </c>
      <c r="AB97" s="305" t="s">
        <v>187</v>
      </c>
      <c r="AC97" s="306" t="str">
        <f t="shared" si="43"/>
        <v/>
      </c>
      <c r="AD97" s="515" t="str">
        <f t="shared" si="44"/>
        <v/>
      </c>
      <c r="AE97" s="307" t="str">
        <f>IFERROR(ROUNDDOWN(ROUNDDOWN(ROUND(L97*VLOOKUP(K97,【参考】数式用!$A$4:$F$57,MATCH("処遇改善加算Ⅳ",【参考】数式用!$C$3:$F$3,0)+2,0),0),0)*AA97*0.5,0), "")</f>
        <v/>
      </c>
      <c r="AF97" s="318"/>
      <c r="AG97" s="319"/>
      <c r="AH97" s="319"/>
      <c r="AI97" s="318"/>
      <c r="AJ97" s="320"/>
      <c r="AK97" s="326"/>
      <c r="AL97" s="324" t="str">
        <f t="shared" si="33"/>
        <v/>
      </c>
      <c r="AM97" s="325" t="str">
        <f t="shared" si="52"/>
        <v/>
      </c>
      <c r="AN97" s="255"/>
      <c r="AO97" s="557" t="str">
        <f>IFERROR(VLOOKUP(K97,【参考】数式用!$A$2:$N$57,14,FALSE),"")</f>
        <v/>
      </c>
      <c r="AP97" s="557" t="str">
        <f t="shared" si="34"/>
        <v/>
      </c>
      <c r="AQ97" s="561" t="str">
        <f t="shared" si="35"/>
        <v/>
      </c>
      <c r="AR97" s="540" t="str">
        <f t="shared" si="36"/>
        <v>入力済</v>
      </c>
      <c r="AS97" s="578" t="str">
        <f t="shared" si="45"/>
        <v/>
      </c>
      <c r="AT97" s="540" t="str">
        <f t="shared" si="37"/>
        <v>入力済</v>
      </c>
      <c r="AU97" s="540" t="str">
        <f t="shared" si="46"/>
        <v/>
      </c>
      <c r="AV97" s="540" t="str">
        <f t="shared" si="38"/>
        <v/>
      </c>
      <c r="AW97" s="557" t="str">
        <f t="shared" si="39"/>
        <v/>
      </c>
      <c r="AX97" s="578" t="str">
        <f t="shared" si="47"/>
        <v/>
      </c>
      <c r="AY97" s="540" t="str">
        <f>IFERROR(VLOOKUP(K97,【参考】数式用!$AR$5:$AS$39,2, FALSE), "")</f>
        <v/>
      </c>
      <c r="AZ97" s="557" t="str">
        <f t="shared" si="48"/>
        <v/>
      </c>
      <c r="BA97" s="560" t="str">
        <f t="shared" si="40"/>
        <v>入力済</v>
      </c>
      <c r="BB97" s="540" t="str">
        <f>IFERROR(VLOOKUP(K97,【参考】数式用!$AX$3:$AY$59, 2, FALSE), "")</f>
        <v/>
      </c>
      <c r="BC97" s="578" t="str">
        <f t="shared" si="49"/>
        <v/>
      </c>
      <c r="BD97" s="560" t="str">
        <f t="shared" si="41"/>
        <v>入力済</v>
      </c>
      <c r="BE97" s="577" t="str">
        <f t="shared" si="50"/>
        <v/>
      </c>
      <c r="BF97" s="560" t="str">
        <f t="shared" si="42"/>
        <v/>
      </c>
      <c r="BG97" s="597"/>
      <c r="BH97" s="593" t="str">
        <f t="shared" si="51"/>
        <v/>
      </c>
      <c r="BI97" s="616" t="str">
        <f>IF(BH97="Ⅱロ有り",ROUNDDOWN(L97*VLOOKUP(K97,【参考】数式用!$A$4:$J$42,10,FALSE)*AA97,0),"")</f>
        <v/>
      </c>
      <c r="BJ97" s="616" t="str">
        <f>IF(BH97="Ⅱロなし",ROUNDDOWN(L97*VLOOKUP(K97,【参考】数式用!$A$4:$J$42,8,FALSE)*AA97,0),"")</f>
        <v/>
      </c>
    </row>
    <row r="98" spans="1:62" ht="109.9" customHeight="1" thickBot="1">
      <c r="A98" s="303">
        <v>85</v>
      </c>
      <c r="B98" s="956" t="str">
        <f>IF(基本情報入力シート!B120="","",基本情報入力シート!B120)</f>
        <v/>
      </c>
      <c r="C98" s="957"/>
      <c r="D98" s="957"/>
      <c r="E98" s="957"/>
      <c r="F98" s="958"/>
      <c r="G98" s="304" t="str">
        <f>IF(基本情報入力シート!L120="", "", 基本情報入力シート!L120)</f>
        <v/>
      </c>
      <c r="H98" s="304" t="str">
        <f>IF(基本情報入力シート!Q120="", "", 基本情報入力シート!Q120)</f>
        <v/>
      </c>
      <c r="I98" s="304" t="str">
        <f>IF(基本情報入力シート!V120="", "", 基本情報入力シート!V120)</f>
        <v/>
      </c>
      <c r="J98" s="304" t="str">
        <f>IF(基本情報入力シート!W120="", "", 基本情報入力シート!W120)</f>
        <v/>
      </c>
      <c r="K98" s="304" t="str">
        <f>IF(基本情報入力シート!Z120="", "", 基本情報入力シート!Z120)</f>
        <v/>
      </c>
      <c r="L98" s="558" t="str">
        <f>IF(基本情報入力シート!AF120=0, "",基本情報入力シート!AF120)</f>
        <v/>
      </c>
      <c r="M98" s="588"/>
      <c r="N98" s="522" t="str">
        <f>IFERROR(VLOOKUP(K98,【参考】数式用!$A$2:$F$57,MATCH(M98,【参考】数式用!$C$3:$F$3,0)+2,0),"")</f>
        <v/>
      </c>
      <c r="O98" s="511"/>
      <c r="P98" s="555" t="str">
        <f>IFERROR(VLOOKUP(K98,【参考】数式用!$A$2:$F$57,MATCH(O98,【参考】数式用!$C$3:$F$3,0)+2,0),"")</f>
        <v/>
      </c>
      <c r="Q98" s="310" t="s">
        <v>118</v>
      </c>
      <c r="R98" s="308"/>
      <c r="S98" s="309" t="s">
        <v>183</v>
      </c>
      <c r="T98" s="308"/>
      <c r="U98" s="309" t="s">
        <v>184</v>
      </c>
      <c r="V98" s="308"/>
      <c r="W98" s="309" t="s">
        <v>183</v>
      </c>
      <c r="X98" s="308"/>
      <c r="Y98" s="309" t="s">
        <v>185</v>
      </c>
      <c r="Z98" s="309" t="s">
        <v>186</v>
      </c>
      <c r="AA98" s="309" t="str">
        <f t="shared" si="53"/>
        <v/>
      </c>
      <c r="AB98" s="305" t="s">
        <v>187</v>
      </c>
      <c r="AC98" s="306" t="str">
        <f t="shared" si="43"/>
        <v/>
      </c>
      <c r="AD98" s="515" t="str">
        <f t="shared" si="44"/>
        <v/>
      </c>
      <c r="AE98" s="307" t="str">
        <f>IFERROR(ROUNDDOWN(ROUNDDOWN(ROUND(L98*VLOOKUP(K98,【参考】数式用!$A$4:$F$57,MATCH("処遇改善加算Ⅳ",【参考】数式用!$C$3:$F$3,0)+2,0),0),0)*AA98*0.5,0), "")</f>
        <v/>
      </c>
      <c r="AF98" s="318"/>
      <c r="AG98" s="319"/>
      <c r="AH98" s="319"/>
      <c r="AI98" s="318"/>
      <c r="AJ98" s="320"/>
      <c r="AK98" s="326"/>
      <c r="AL98" s="324" t="str">
        <f t="shared" si="33"/>
        <v/>
      </c>
      <c r="AM98" s="325" t="str">
        <f t="shared" si="52"/>
        <v/>
      </c>
      <c r="AN98" s="255"/>
      <c r="AO98" s="557" t="str">
        <f>IFERROR(VLOOKUP(K98,【参考】数式用!$A$2:$N$57,14,FALSE),"")</f>
        <v/>
      </c>
      <c r="AP98" s="557" t="str">
        <f t="shared" si="34"/>
        <v/>
      </c>
      <c r="AQ98" s="561" t="str">
        <f t="shared" si="35"/>
        <v/>
      </c>
      <c r="AR98" s="540" t="str">
        <f t="shared" si="36"/>
        <v>入力済</v>
      </c>
      <c r="AS98" s="578" t="str">
        <f t="shared" si="45"/>
        <v/>
      </c>
      <c r="AT98" s="540" t="str">
        <f t="shared" si="37"/>
        <v>入力済</v>
      </c>
      <c r="AU98" s="540" t="str">
        <f t="shared" si="46"/>
        <v/>
      </c>
      <c r="AV98" s="540" t="str">
        <f t="shared" si="38"/>
        <v/>
      </c>
      <c r="AW98" s="557" t="str">
        <f t="shared" si="39"/>
        <v/>
      </c>
      <c r="AX98" s="578" t="str">
        <f t="shared" si="47"/>
        <v/>
      </c>
      <c r="AY98" s="540" t="str">
        <f>IFERROR(VLOOKUP(K98,【参考】数式用!$AR$5:$AS$39,2, FALSE), "")</f>
        <v/>
      </c>
      <c r="AZ98" s="557" t="str">
        <f t="shared" si="48"/>
        <v/>
      </c>
      <c r="BA98" s="560" t="str">
        <f t="shared" si="40"/>
        <v>入力済</v>
      </c>
      <c r="BB98" s="540" t="str">
        <f>IFERROR(VLOOKUP(K98,【参考】数式用!$AX$3:$AY$59, 2, FALSE), "")</f>
        <v/>
      </c>
      <c r="BC98" s="578" t="str">
        <f t="shared" si="49"/>
        <v/>
      </c>
      <c r="BD98" s="560" t="str">
        <f t="shared" si="41"/>
        <v>入力済</v>
      </c>
      <c r="BE98" s="577" t="str">
        <f t="shared" si="50"/>
        <v/>
      </c>
      <c r="BF98" s="560" t="str">
        <f t="shared" si="42"/>
        <v/>
      </c>
      <c r="BG98" s="597"/>
      <c r="BH98" s="593" t="str">
        <f t="shared" si="51"/>
        <v/>
      </c>
      <c r="BI98" s="616" t="str">
        <f>IF(BH98="Ⅱロ有り",ROUNDDOWN(L98*VLOOKUP(K98,【参考】数式用!$A$4:$J$42,10,FALSE)*AA98,0),"")</f>
        <v/>
      </c>
      <c r="BJ98" s="616" t="str">
        <f>IF(BH98="Ⅱロなし",ROUNDDOWN(L98*VLOOKUP(K98,【参考】数式用!$A$4:$J$42,8,FALSE)*AA98,0),"")</f>
        <v/>
      </c>
    </row>
    <row r="99" spans="1:62" ht="109.9" customHeight="1" thickBot="1">
      <c r="A99" s="303">
        <v>86</v>
      </c>
      <c r="B99" s="956" t="str">
        <f>IF(基本情報入力シート!B121="","",基本情報入力シート!B121)</f>
        <v/>
      </c>
      <c r="C99" s="957"/>
      <c r="D99" s="957"/>
      <c r="E99" s="957"/>
      <c r="F99" s="958"/>
      <c r="G99" s="304" t="str">
        <f>IF(基本情報入力シート!L121="", "", 基本情報入力シート!L121)</f>
        <v/>
      </c>
      <c r="H99" s="304" t="str">
        <f>IF(基本情報入力シート!Q121="", "", 基本情報入力シート!Q121)</f>
        <v/>
      </c>
      <c r="I99" s="304" t="str">
        <f>IF(基本情報入力シート!V121="", "", 基本情報入力シート!V121)</f>
        <v/>
      </c>
      <c r="J99" s="304" t="str">
        <f>IF(基本情報入力シート!W121="", "", 基本情報入力シート!W121)</f>
        <v/>
      </c>
      <c r="K99" s="304" t="str">
        <f>IF(基本情報入力シート!Z121="", "", 基本情報入力シート!Z121)</f>
        <v/>
      </c>
      <c r="L99" s="558" t="str">
        <f>IF(基本情報入力シート!AF121=0, "",基本情報入力シート!AF121)</f>
        <v/>
      </c>
      <c r="M99" s="588"/>
      <c r="N99" s="522" t="str">
        <f>IFERROR(VLOOKUP(K99,【参考】数式用!$A$2:$F$57,MATCH(M99,【参考】数式用!$C$3:$F$3,0)+2,0),"")</f>
        <v/>
      </c>
      <c r="O99" s="511"/>
      <c r="P99" s="555" t="str">
        <f>IFERROR(VLOOKUP(K99,【参考】数式用!$A$2:$F$57,MATCH(O99,【参考】数式用!$C$3:$F$3,0)+2,0),"")</f>
        <v/>
      </c>
      <c r="Q99" s="310" t="s">
        <v>118</v>
      </c>
      <c r="R99" s="308"/>
      <c r="S99" s="309" t="s">
        <v>183</v>
      </c>
      <c r="T99" s="308"/>
      <c r="U99" s="309" t="s">
        <v>184</v>
      </c>
      <c r="V99" s="308"/>
      <c r="W99" s="309" t="s">
        <v>183</v>
      </c>
      <c r="X99" s="308"/>
      <c r="Y99" s="309" t="s">
        <v>185</v>
      </c>
      <c r="Z99" s="309" t="s">
        <v>186</v>
      </c>
      <c r="AA99" s="309" t="str">
        <f t="shared" si="53"/>
        <v/>
      </c>
      <c r="AB99" s="305" t="s">
        <v>187</v>
      </c>
      <c r="AC99" s="306" t="str">
        <f t="shared" si="43"/>
        <v/>
      </c>
      <c r="AD99" s="515" t="str">
        <f t="shared" si="44"/>
        <v/>
      </c>
      <c r="AE99" s="307" t="str">
        <f>IFERROR(ROUNDDOWN(ROUNDDOWN(ROUND(L99*VLOOKUP(K99,【参考】数式用!$A$4:$F$57,MATCH("処遇改善加算Ⅳ",【参考】数式用!$C$3:$F$3,0)+2,0),0),0)*AA99*0.5,0), "")</f>
        <v/>
      </c>
      <c r="AF99" s="318"/>
      <c r="AG99" s="319"/>
      <c r="AH99" s="319"/>
      <c r="AI99" s="318"/>
      <c r="AJ99" s="320"/>
      <c r="AK99" s="326"/>
      <c r="AL99" s="324" t="str">
        <f t="shared" si="33"/>
        <v/>
      </c>
      <c r="AM99" s="325" t="str">
        <f t="shared" si="52"/>
        <v/>
      </c>
      <c r="AN99" s="255"/>
      <c r="AO99" s="557" t="str">
        <f>IFERROR(VLOOKUP(K99,【参考】数式用!$A$2:$N$57,14,FALSE),"")</f>
        <v/>
      </c>
      <c r="AP99" s="557" t="str">
        <f t="shared" si="34"/>
        <v/>
      </c>
      <c r="AQ99" s="561" t="str">
        <f t="shared" si="35"/>
        <v/>
      </c>
      <c r="AR99" s="540" t="str">
        <f t="shared" si="36"/>
        <v>入力済</v>
      </c>
      <c r="AS99" s="578" t="str">
        <f t="shared" si="45"/>
        <v/>
      </c>
      <c r="AT99" s="540" t="str">
        <f t="shared" si="37"/>
        <v>入力済</v>
      </c>
      <c r="AU99" s="540" t="str">
        <f t="shared" si="46"/>
        <v/>
      </c>
      <c r="AV99" s="540" t="str">
        <f t="shared" si="38"/>
        <v/>
      </c>
      <c r="AW99" s="557" t="str">
        <f t="shared" si="39"/>
        <v/>
      </c>
      <c r="AX99" s="578" t="str">
        <f t="shared" si="47"/>
        <v/>
      </c>
      <c r="AY99" s="540" t="str">
        <f>IFERROR(VLOOKUP(K99,【参考】数式用!$AR$5:$AS$39,2, FALSE), "")</f>
        <v/>
      </c>
      <c r="AZ99" s="557" t="str">
        <f t="shared" si="48"/>
        <v/>
      </c>
      <c r="BA99" s="560" t="str">
        <f t="shared" si="40"/>
        <v>入力済</v>
      </c>
      <c r="BB99" s="540" t="str">
        <f>IFERROR(VLOOKUP(K99,【参考】数式用!$AX$3:$AY$59, 2, FALSE), "")</f>
        <v/>
      </c>
      <c r="BC99" s="578" t="str">
        <f t="shared" si="49"/>
        <v/>
      </c>
      <c r="BD99" s="560" t="str">
        <f t="shared" si="41"/>
        <v>入力済</v>
      </c>
      <c r="BE99" s="577" t="str">
        <f t="shared" si="50"/>
        <v/>
      </c>
      <c r="BF99" s="560" t="str">
        <f t="shared" si="42"/>
        <v/>
      </c>
      <c r="BG99" s="597"/>
      <c r="BH99" s="593" t="str">
        <f t="shared" si="51"/>
        <v/>
      </c>
      <c r="BI99" s="616" t="str">
        <f>IF(BH99="Ⅱロ有り",ROUNDDOWN(L99*VLOOKUP(K99,【参考】数式用!$A$4:$J$42,10,FALSE)*AA99,0),"")</f>
        <v/>
      </c>
      <c r="BJ99" s="616" t="str">
        <f>IF(BH99="Ⅱロなし",ROUNDDOWN(L99*VLOOKUP(K99,【参考】数式用!$A$4:$J$42,8,FALSE)*AA99,0),"")</f>
        <v/>
      </c>
    </row>
    <row r="100" spans="1:62" ht="109.9" customHeight="1" thickBot="1">
      <c r="A100" s="303">
        <v>87</v>
      </c>
      <c r="B100" s="956" t="str">
        <f>IF(基本情報入力シート!B122="","",基本情報入力シート!B122)</f>
        <v/>
      </c>
      <c r="C100" s="957"/>
      <c r="D100" s="957"/>
      <c r="E100" s="957"/>
      <c r="F100" s="958"/>
      <c r="G100" s="304" t="str">
        <f>IF(基本情報入力シート!L122="", "", 基本情報入力シート!L122)</f>
        <v/>
      </c>
      <c r="H100" s="304" t="str">
        <f>IF(基本情報入力シート!Q122="", "", 基本情報入力シート!Q122)</f>
        <v/>
      </c>
      <c r="I100" s="304" t="str">
        <f>IF(基本情報入力シート!V122="", "", 基本情報入力シート!V122)</f>
        <v/>
      </c>
      <c r="J100" s="304" t="str">
        <f>IF(基本情報入力シート!W122="", "", 基本情報入力シート!W122)</f>
        <v/>
      </c>
      <c r="K100" s="304" t="str">
        <f>IF(基本情報入力シート!Z122="", "", 基本情報入力シート!Z122)</f>
        <v/>
      </c>
      <c r="L100" s="558" t="str">
        <f>IF(基本情報入力シート!AF122=0, "",基本情報入力シート!AF122)</f>
        <v/>
      </c>
      <c r="M100" s="588"/>
      <c r="N100" s="522" t="str">
        <f>IFERROR(VLOOKUP(K100,【参考】数式用!$A$2:$F$57,MATCH(M100,【参考】数式用!$C$3:$F$3,0)+2,0),"")</f>
        <v/>
      </c>
      <c r="O100" s="511"/>
      <c r="P100" s="555" t="str">
        <f>IFERROR(VLOOKUP(K100,【参考】数式用!$A$2:$F$57,MATCH(O100,【参考】数式用!$C$3:$F$3,0)+2,0),"")</f>
        <v/>
      </c>
      <c r="Q100" s="310" t="s">
        <v>118</v>
      </c>
      <c r="R100" s="308"/>
      <c r="S100" s="309" t="s">
        <v>183</v>
      </c>
      <c r="T100" s="308"/>
      <c r="U100" s="309" t="s">
        <v>184</v>
      </c>
      <c r="V100" s="308"/>
      <c r="W100" s="309" t="s">
        <v>183</v>
      </c>
      <c r="X100" s="308"/>
      <c r="Y100" s="309" t="s">
        <v>185</v>
      </c>
      <c r="Z100" s="309" t="s">
        <v>186</v>
      </c>
      <c r="AA100" s="309" t="str">
        <f t="shared" si="53"/>
        <v/>
      </c>
      <c r="AB100" s="305" t="s">
        <v>187</v>
      </c>
      <c r="AC100" s="306" t="str">
        <f t="shared" si="43"/>
        <v/>
      </c>
      <c r="AD100" s="515" t="str">
        <f t="shared" si="44"/>
        <v/>
      </c>
      <c r="AE100" s="307" t="str">
        <f>IFERROR(ROUNDDOWN(ROUNDDOWN(ROUND(L100*VLOOKUP(K100,【参考】数式用!$A$4:$F$57,MATCH("処遇改善加算Ⅳ",【参考】数式用!$C$3:$F$3,0)+2,0),0),0)*AA100*0.5,0), "")</f>
        <v/>
      </c>
      <c r="AF100" s="318"/>
      <c r="AG100" s="319"/>
      <c r="AH100" s="319"/>
      <c r="AI100" s="318"/>
      <c r="AJ100" s="320"/>
      <c r="AK100" s="326"/>
      <c r="AL100" s="324" t="str">
        <f t="shared" si="33"/>
        <v/>
      </c>
      <c r="AM100" s="325" t="str">
        <f t="shared" si="52"/>
        <v/>
      </c>
      <c r="AN100" s="255"/>
      <c r="AO100" s="557" t="str">
        <f>IFERROR(VLOOKUP(K100,【参考】数式用!$A$2:$N$57,14,FALSE),"")</f>
        <v/>
      </c>
      <c r="AP100" s="557" t="str">
        <f t="shared" si="34"/>
        <v/>
      </c>
      <c r="AQ100" s="561" t="str">
        <f t="shared" si="35"/>
        <v/>
      </c>
      <c r="AR100" s="540" t="str">
        <f t="shared" si="36"/>
        <v>入力済</v>
      </c>
      <c r="AS100" s="578" t="str">
        <f t="shared" si="45"/>
        <v/>
      </c>
      <c r="AT100" s="540" t="str">
        <f t="shared" si="37"/>
        <v>入力済</v>
      </c>
      <c r="AU100" s="540" t="str">
        <f t="shared" si="46"/>
        <v/>
      </c>
      <c r="AV100" s="540" t="str">
        <f t="shared" si="38"/>
        <v/>
      </c>
      <c r="AW100" s="557" t="str">
        <f t="shared" si="39"/>
        <v/>
      </c>
      <c r="AX100" s="578" t="str">
        <f t="shared" si="47"/>
        <v/>
      </c>
      <c r="AY100" s="540" t="str">
        <f>IFERROR(VLOOKUP(K100,【参考】数式用!$AR$5:$AS$39,2, FALSE), "")</f>
        <v/>
      </c>
      <c r="AZ100" s="557" t="str">
        <f t="shared" si="48"/>
        <v/>
      </c>
      <c r="BA100" s="560" t="str">
        <f t="shared" si="40"/>
        <v>入力済</v>
      </c>
      <c r="BB100" s="540" t="str">
        <f>IFERROR(VLOOKUP(K100,【参考】数式用!$AX$3:$AY$59, 2, FALSE), "")</f>
        <v/>
      </c>
      <c r="BC100" s="578" t="str">
        <f t="shared" si="49"/>
        <v/>
      </c>
      <c r="BD100" s="560" t="str">
        <f t="shared" si="41"/>
        <v>入力済</v>
      </c>
      <c r="BE100" s="577" t="str">
        <f t="shared" si="50"/>
        <v/>
      </c>
      <c r="BF100" s="560" t="str">
        <f t="shared" si="42"/>
        <v/>
      </c>
      <c r="BG100" s="597"/>
      <c r="BH100" s="593" t="str">
        <f t="shared" si="51"/>
        <v/>
      </c>
      <c r="BI100" s="616" t="str">
        <f>IF(BH100="Ⅱロ有り",ROUNDDOWN(L100*VLOOKUP(K100,【参考】数式用!$A$4:$J$42,10,FALSE)*AA100,0),"")</f>
        <v/>
      </c>
      <c r="BJ100" s="616" t="str">
        <f>IF(BH100="Ⅱロなし",ROUNDDOWN(L100*VLOOKUP(K100,【参考】数式用!$A$4:$J$42,8,FALSE)*AA100,0),"")</f>
        <v/>
      </c>
    </row>
    <row r="101" spans="1:62" ht="109.9" customHeight="1" thickBot="1">
      <c r="A101" s="303">
        <v>88</v>
      </c>
      <c r="B101" s="956" t="str">
        <f>IF(基本情報入力シート!B123="","",基本情報入力シート!B123)</f>
        <v/>
      </c>
      <c r="C101" s="957"/>
      <c r="D101" s="957"/>
      <c r="E101" s="957"/>
      <c r="F101" s="958"/>
      <c r="G101" s="304" t="str">
        <f>IF(基本情報入力シート!L123="", "", 基本情報入力シート!L123)</f>
        <v/>
      </c>
      <c r="H101" s="304" t="str">
        <f>IF(基本情報入力シート!Q123="", "", 基本情報入力シート!Q123)</f>
        <v/>
      </c>
      <c r="I101" s="304" t="str">
        <f>IF(基本情報入力シート!V123="", "", 基本情報入力シート!V123)</f>
        <v/>
      </c>
      <c r="J101" s="304" t="str">
        <f>IF(基本情報入力シート!W123="", "", 基本情報入力シート!W123)</f>
        <v/>
      </c>
      <c r="K101" s="304" t="str">
        <f>IF(基本情報入力シート!Z123="", "", 基本情報入力シート!Z123)</f>
        <v/>
      </c>
      <c r="L101" s="558" t="str">
        <f>IF(基本情報入力シート!AF123=0, "",基本情報入力シート!AF123)</f>
        <v/>
      </c>
      <c r="M101" s="588"/>
      <c r="N101" s="522" t="str">
        <f>IFERROR(VLOOKUP(K101,【参考】数式用!$A$2:$F$57,MATCH(M101,【参考】数式用!$C$3:$F$3,0)+2,0),"")</f>
        <v/>
      </c>
      <c r="O101" s="511"/>
      <c r="P101" s="555" t="str">
        <f>IFERROR(VLOOKUP(K101,【参考】数式用!$A$2:$F$57,MATCH(O101,【参考】数式用!$C$3:$F$3,0)+2,0),"")</f>
        <v/>
      </c>
      <c r="Q101" s="310" t="s">
        <v>118</v>
      </c>
      <c r="R101" s="308"/>
      <c r="S101" s="309" t="s">
        <v>183</v>
      </c>
      <c r="T101" s="308"/>
      <c r="U101" s="309" t="s">
        <v>184</v>
      </c>
      <c r="V101" s="308"/>
      <c r="W101" s="309" t="s">
        <v>183</v>
      </c>
      <c r="X101" s="308"/>
      <c r="Y101" s="309" t="s">
        <v>185</v>
      </c>
      <c r="Z101" s="309" t="s">
        <v>186</v>
      </c>
      <c r="AA101" s="309" t="str">
        <f t="shared" si="53"/>
        <v/>
      </c>
      <c r="AB101" s="305" t="s">
        <v>187</v>
      </c>
      <c r="AC101" s="306" t="str">
        <f t="shared" si="43"/>
        <v/>
      </c>
      <c r="AD101" s="515" t="str">
        <f t="shared" si="44"/>
        <v/>
      </c>
      <c r="AE101" s="307" t="str">
        <f>IFERROR(ROUNDDOWN(ROUNDDOWN(ROUND(L101*VLOOKUP(K101,【参考】数式用!$A$4:$F$57,MATCH("処遇改善加算Ⅳ",【参考】数式用!$C$3:$F$3,0)+2,0),0),0)*AA101*0.5,0), "")</f>
        <v/>
      </c>
      <c r="AF101" s="318"/>
      <c r="AG101" s="319"/>
      <c r="AH101" s="319"/>
      <c r="AI101" s="318"/>
      <c r="AJ101" s="320"/>
      <c r="AK101" s="326"/>
      <c r="AL101" s="324" t="str">
        <f t="shared" si="33"/>
        <v/>
      </c>
      <c r="AM101" s="325" t="str">
        <f t="shared" si="52"/>
        <v/>
      </c>
      <c r="AN101" s="255"/>
      <c r="AO101" s="557" t="str">
        <f>IFERROR(VLOOKUP(K101,【参考】数式用!$A$2:$N$57,14,FALSE),"")</f>
        <v/>
      </c>
      <c r="AP101" s="557" t="str">
        <f t="shared" si="34"/>
        <v/>
      </c>
      <c r="AQ101" s="561" t="str">
        <f t="shared" si="35"/>
        <v/>
      </c>
      <c r="AR101" s="540" t="str">
        <f t="shared" si="36"/>
        <v>入力済</v>
      </c>
      <c r="AS101" s="578" t="str">
        <f t="shared" si="45"/>
        <v/>
      </c>
      <c r="AT101" s="540" t="str">
        <f t="shared" si="37"/>
        <v>入力済</v>
      </c>
      <c r="AU101" s="540" t="str">
        <f t="shared" si="46"/>
        <v/>
      </c>
      <c r="AV101" s="540" t="str">
        <f t="shared" si="38"/>
        <v/>
      </c>
      <c r="AW101" s="557" t="str">
        <f t="shared" si="39"/>
        <v/>
      </c>
      <c r="AX101" s="578" t="str">
        <f t="shared" si="47"/>
        <v/>
      </c>
      <c r="AY101" s="540" t="str">
        <f>IFERROR(VLOOKUP(K101,【参考】数式用!$AR$5:$AS$39,2, FALSE), "")</f>
        <v/>
      </c>
      <c r="AZ101" s="557" t="str">
        <f t="shared" si="48"/>
        <v/>
      </c>
      <c r="BA101" s="560" t="str">
        <f t="shared" si="40"/>
        <v>入力済</v>
      </c>
      <c r="BB101" s="540" t="str">
        <f>IFERROR(VLOOKUP(K101,【参考】数式用!$AX$3:$AY$59, 2, FALSE), "")</f>
        <v/>
      </c>
      <c r="BC101" s="578" t="str">
        <f t="shared" si="49"/>
        <v/>
      </c>
      <c r="BD101" s="560" t="str">
        <f t="shared" si="41"/>
        <v>入力済</v>
      </c>
      <c r="BE101" s="577" t="str">
        <f t="shared" si="50"/>
        <v/>
      </c>
      <c r="BF101" s="560" t="str">
        <f t="shared" si="42"/>
        <v/>
      </c>
      <c r="BG101" s="597"/>
      <c r="BH101" s="593" t="str">
        <f t="shared" si="51"/>
        <v/>
      </c>
      <c r="BI101" s="616" t="str">
        <f>IF(BH101="Ⅱロ有り",ROUNDDOWN(L101*VLOOKUP(K101,【参考】数式用!$A$4:$J$42,10,FALSE)*AA101,0),"")</f>
        <v/>
      </c>
      <c r="BJ101" s="616" t="str">
        <f>IF(BH101="Ⅱロなし",ROUNDDOWN(L101*VLOOKUP(K101,【参考】数式用!$A$4:$J$42,8,FALSE)*AA101,0),"")</f>
        <v/>
      </c>
    </row>
    <row r="102" spans="1:62" ht="109.9" customHeight="1" thickBot="1">
      <c r="A102" s="303">
        <v>89</v>
      </c>
      <c r="B102" s="956" t="str">
        <f>IF(基本情報入力シート!B124="","",基本情報入力シート!B124)</f>
        <v/>
      </c>
      <c r="C102" s="957"/>
      <c r="D102" s="957"/>
      <c r="E102" s="957"/>
      <c r="F102" s="958"/>
      <c r="G102" s="304" t="str">
        <f>IF(基本情報入力シート!L124="", "", 基本情報入力シート!L124)</f>
        <v/>
      </c>
      <c r="H102" s="304" t="str">
        <f>IF(基本情報入力シート!Q124="", "", 基本情報入力シート!Q124)</f>
        <v/>
      </c>
      <c r="I102" s="304" t="str">
        <f>IF(基本情報入力シート!V124="", "", 基本情報入力シート!V124)</f>
        <v/>
      </c>
      <c r="J102" s="304" t="str">
        <f>IF(基本情報入力シート!W124="", "", 基本情報入力シート!W124)</f>
        <v/>
      </c>
      <c r="K102" s="304" t="str">
        <f>IF(基本情報入力シート!Z124="", "", 基本情報入力シート!Z124)</f>
        <v/>
      </c>
      <c r="L102" s="558" t="str">
        <f>IF(基本情報入力シート!AF124=0, "",基本情報入力シート!AF124)</f>
        <v/>
      </c>
      <c r="M102" s="588"/>
      <c r="N102" s="522" t="str">
        <f>IFERROR(VLOOKUP(K102,【参考】数式用!$A$2:$F$57,MATCH(M102,【参考】数式用!$C$3:$F$3,0)+2,0),"")</f>
        <v/>
      </c>
      <c r="O102" s="511"/>
      <c r="P102" s="555" t="str">
        <f>IFERROR(VLOOKUP(K102,【参考】数式用!$A$2:$F$57,MATCH(O102,【参考】数式用!$C$3:$F$3,0)+2,0),"")</f>
        <v/>
      </c>
      <c r="Q102" s="310" t="s">
        <v>118</v>
      </c>
      <c r="R102" s="308"/>
      <c r="S102" s="309" t="s">
        <v>183</v>
      </c>
      <c r="T102" s="308"/>
      <c r="U102" s="309" t="s">
        <v>184</v>
      </c>
      <c r="V102" s="308"/>
      <c r="W102" s="309" t="s">
        <v>183</v>
      </c>
      <c r="X102" s="308"/>
      <c r="Y102" s="309" t="s">
        <v>185</v>
      </c>
      <c r="Z102" s="309" t="s">
        <v>186</v>
      </c>
      <c r="AA102" s="309" t="str">
        <f t="shared" si="53"/>
        <v/>
      </c>
      <c r="AB102" s="305" t="s">
        <v>187</v>
      </c>
      <c r="AC102" s="306" t="str">
        <f t="shared" si="43"/>
        <v/>
      </c>
      <c r="AD102" s="515" t="str">
        <f t="shared" si="44"/>
        <v/>
      </c>
      <c r="AE102" s="307" t="str">
        <f>IFERROR(ROUNDDOWN(ROUNDDOWN(ROUND(L102*VLOOKUP(K102,【参考】数式用!$A$4:$F$57,MATCH("処遇改善加算Ⅳ",【参考】数式用!$C$3:$F$3,0)+2,0),0),0)*AA102*0.5,0), "")</f>
        <v/>
      </c>
      <c r="AF102" s="318"/>
      <c r="AG102" s="319"/>
      <c r="AH102" s="319"/>
      <c r="AI102" s="318"/>
      <c r="AJ102" s="320"/>
      <c r="AK102" s="326"/>
      <c r="AL102" s="324" t="str">
        <f t="shared" si="33"/>
        <v/>
      </c>
      <c r="AM102" s="325" t="str">
        <f t="shared" si="52"/>
        <v/>
      </c>
      <c r="AN102" s="255"/>
      <c r="AO102" s="557" t="str">
        <f>IFERROR(VLOOKUP(K102,【参考】数式用!$A$2:$N$57,14,FALSE),"")</f>
        <v/>
      </c>
      <c r="AP102" s="557" t="str">
        <f t="shared" si="34"/>
        <v/>
      </c>
      <c r="AQ102" s="561" t="str">
        <f t="shared" si="35"/>
        <v/>
      </c>
      <c r="AR102" s="540" t="str">
        <f t="shared" si="36"/>
        <v>入力済</v>
      </c>
      <c r="AS102" s="578" t="str">
        <f t="shared" si="45"/>
        <v/>
      </c>
      <c r="AT102" s="540" t="str">
        <f t="shared" si="37"/>
        <v>入力済</v>
      </c>
      <c r="AU102" s="540" t="str">
        <f t="shared" si="46"/>
        <v/>
      </c>
      <c r="AV102" s="540" t="str">
        <f t="shared" si="38"/>
        <v/>
      </c>
      <c r="AW102" s="557" t="str">
        <f t="shared" si="39"/>
        <v/>
      </c>
      <c r="AX102" s="578" t="str">
        <f t="shared" si="47"/>
        <v/>
      </c>
      <c r="AY102" s="540" t="str">
        <f>IFERROR(VLOOKUP(K102,【参考】数式用!$AR$5:$AS$39,2, FALSE), "")</f>
        <v/>
      </c>
      <c r="AZ102" s="557" t="str">
        <f t="shared" si="48"/>
        <v/>
      </c>
      <c r="BA102" s="560" t="str">
        <f t="shared" si="40"/>
        <v>入力済</v>
      </c>
      <c r="BB102" s="540" t="str">
        <f>IFERROR(VLOOKUP(K102,【参考】数式用!$AX$3:$AY$59, 2, FALSE), "")</f>
        <v/>
      </c>
      <c r="BC102" s="578" t="str">
        <f t="shared" si="49"/>
        <v/>
      </c>
      <c r="BD102" s="560" t="str">
        <f t="shared" si="41"/>
        <v>入力済</v>
      </c>
      <c r="BE102" s="577" t="str">
        <f t="shared" si="50"/>
        <v/>
      </c>
      <c r="BF102" s="560" t="str">
        <f t="shared" si="42"/>
        <v/>
      </c>
      <c r="BG102" s="597"/>
      <c r="BH102" s="593" t="str">
        <f t="shared" si="51"/>
        <v/>
      </c>
      <c r="BI102" s="616" t="str">
        <f>IF(BH102="Ⅱロ有り",ROUNDDOWN(L102*VLOOKUP(K102,【参考】数式用!$A$4:$J$42,10,FALSE)*AA102,0),"")</f>
        <v/>
      </c>
      <c r="BJ102" s="616" t="str">
        <f>IF(BH102="Ⅱロなし",ROUNDDOWN(L102*VLOOKUP(K102,【参考】数式用!$A$4:$J$42,8,FALSE)*AA102,0),"")</f>
        <v/>
      </c>
    </row>
    <row r="103" spans="1:62" ht="109.9" customHeight="1" thickBot="1">
      <c r="A103" s="303">
        <v>90</v>
      </c>
      <c r="B103" s="956" t="str">
        <f>IF(基本情報入力シート!B125="","",基本情報入力シート!B125)</f>
        <v/>
      </c>
      <c r="C103" s="957"/>
      <c r="D103" s="957"/>
      <c r="E103" s="957"/>
      <c r="F103" s="958"/>
      <c r="G103" s="304" t="str">
        <f>IF(基本情報入力シート!L125="", "", 基本情報入力シート!L125)</f>
        <v/>
      </c>
      <c r="H103" s="304" t="str">
        <f>IF(基本情報入力シート!Q125="", "", 基本情報入力シート!Q125)</f>
        <v/>
      </c>
      <c r="I103" s="304" t="str">
        <f>IF(基本情報入力シート!V125="", "", 基本情報入力シート!V125)</f>
        <v/>
      </c>
      <c r="J103" s="304" t="str">
        <f>IF(基本情報入力シート!W125="", "", 基本情報入力シート!W125)</f>
        <v/>
      </c>
      <c r="K103" s="304" t="str">
        <f>IF(基本情報入力シート!Z125="", "", 基本情報入力シート!Z125)</f>
        <v/>
      </c>
      <c r="L103" s="558" t="str">
        <f>IF(基本情報入力シート!AF125=0, "",基本情報入力シート!AF125)</f>
        <v/>
      </c>
      <c r="M103" s="588"/>
      <c r="N103" s="522" t="str">
        <f>IFERROR(VLOOKUP(K103,【参考】数式用!$A$2:$F$57,MATCH(M103,【参考】数式用!$C$3:$F$3,0)+2,0),"")</f>
        <v/>
      </c>
      <c r="O103" s="511"/>
      <c r="P103" s="555" t="str">
        <f>IFERROR(VLOOKUP(K103,【参考】数式用!$A$2:$F$57,MATCH(O103,【参考】数式用!$C$3:$F$3,0)+2,0),"")</f>
        <v/>
      </c>
      <c r="Q103" s="310" t="s">
        <v>118</v>
      </c>
      <c r="R103" s="308"/>
      <c r="S103" s="309" t="s">
        <v>183</v>
      </c>
      <c r="T103" s="308"/>
      <c r="U103" s="309" t="s">
        <v>184</v>
      </c>
      <c r="V103" s="308"/>
      <c r="W103" s="309" t="s">
        <v>183</v>
      </c>
      <c r="X103" s="308"/>
      <c r="Y103" s="309" t="s">
        <v>185</v>
      </c>
      <c r="Z103" s="309" t="s">
        <v>186</v>
      </c>
      <c r="AA103" s="309" t="str">
        <f t="shared" si="53"/>
        <v/>
      </c>
      <c r="AB103" s="305" t="s">
        <v>187</v>
      </c>
      <c r="AC103" s="306" t="str">
        <f t="shared" si="43"/>
        <v/>
      </c>
      <c r="AD103" s="515" t="str">
        <f t="shared" si="44"/>
        <v/>
      </c>
      <c r="AE103" s="307" t="str">
        <f>IFERROR(ROUNDDOWN(ROUNDDOWN(ROUND(L103*VLOOKUP(K103,【参考】数式用!$A$4:$F$57,MATCH("処遇改善加算Ⅳ",【参考】数式用!$C$3:$F$3,0)+2,0),0),0)*AA103*0.5,0), "")</f>
        <v/>
      </c>
      <c r="AF103" s="318"/>
      <c r="AG103" s="319"/>
      <c r="AH103" s="319"/>
      <c r="AI103" s="318"/>
      <c r="AJ103" s="320"/>
      <c r="AK103" s="326"/>
      <c r="AL103" s="324" t="str">
        <f t="shared" si="33"/>
        <v/>
      </c>
      <c r="AM103" s="325" t="str">
        <f t="shared" si="52"/>
        <v/>
      </c>
      <c r="AN103" s="255"/>
      <c r="AO103" s="557" t="str">
        <f>IFERROR(VLOOKUP(K103,【参考】数式用!$A$2:$N$57,14,FALSE),"")</f>
        <v/>
      </c>
      <c r="AP103" s="557" t="str">
        <f t="shared" si="34"/>
        <v/>
      </c>
      <c r="AQ103" s="561" t="str">
        <f t="shared" si="35"/>
        <v/>
      </c>
      <c r="AR103" s="540" t="str">
        <f t="shared" si="36"/>
        <v>入力済</v>
      </c>
      <c r="AS103" s="578" t="str">
        <f t="shared" si="45"/>
        <v/>
      </c>
      <c r="AT103" s="540" t="str">
        <f t="shared" si="37"/>
        <v>入力済</v>
      </c>
      <c r="AU103" s="540" t="str">
        <f t="shared" si="46"/>
        <v/>
      </c>
      <c r="AV103" s="540" t="str">
        <f t="shared" si="38"/>
        <v/>
      </c>
      <c r="AW103" s="557" t="str">
        <f t="shared" si="39"/>
        <v/>
      </c>
      <c r="AX103" s="578" t="str">
        <f t="shared" si="47"/>
        <v/>
      </c>
      <c r="AY103" s="540" t="str">
        <f>IFERROR(VLOOKUP(K103,【参考】数式用!$AR$5:$AS$39,2, FALSE), "")</f>
        <v/>
      </c>
      <c r="AZ103" s="557" t="str">
        <f t="shared" si="48"/>
        <v/>
      </c>
      <c r="BA103" s="560" t="str">
        <f t="shared" si="40"/>
        <v>入力済</v>
      </c>
      <c r="BB103" s="540" t="str">
        <f>IFERROR(VLOOKUP(K103,【参考】数式用!$AX$3:$AY$59, 2, FALSE), "")</f>
        <v/>
      </c>
      <c r="BC103" s="578" t="str">
        <f t="shared" si="49"/>
        <v/>
      </c>
      <c r="BD103" s="560" t="str">
        <f t="shared" si="41"/>
        <v>入力済</v>
      </c>
      <c r="BE103" s="577" t="str">
        <f t="shared" si="50"/>
        <v/>
      </c>
      <c r="BF103" s="560" t="str">
        <f t="shared" si="42"/>
        <v/>
      </c>
      <c r="BG103" s="597"/>
      <c r="BH103" s="593" t="str">
        <f t="shared" si="51"/>
        <v/>
      </c>
      <c r="BI103" s="616" t="str">
        <f>IF(BH103="Ⅱロ有り",ROUNDDOWN(L103*VLOOKUP(K103,【参考】数式用!$A$4:$J$42,10,FALSE)*AA103,0),"")</f>
        <v/>
      </c>
      <c r="BJ103" s="616" t="str">
        <f>IF(BH103="Ⅱロなし",ROUNDDOWN(L103*VLOOKUP(K103,【参考】数式用!$A$4:$J$42,8,FALSE)*AA103,0),"")</f>
        <v/>
      </c>
    </row>
    <row r="104" spans="1:62" ht="109.9" customHeight="1" thickBot="1">
      <c r="A104" s="303">
        <v>91</v>
      </c>
      <c r="B104" s="956" t="str">
        <f>IF(基本情報入力シート!B126="","",基本情報入力シート!B126)</f>
        <v/>
      </c>
      <c r="C104" s="957"/>
      <c r="D104" s="957"/>
      <c r="E104" s="957"/>
      <c r="F104" s="958"/>
      <c r="G104" s="304" t="str">
        <f>IF(基本情報入力シート!L126="", "", 基本情報入力シート!L126)</f>
        <v/>
      </c>
      <c r="H104" s="304" t="str">
        <f>IF(基本情報入力シート!Q126="", "", 基本情報入力シート!Q126)</f>
        <v/>
      </c>
      <c r="I104" s="304" t="str">
        <f>IF(基本情報入力シート!V126="", "", 基本情報入力シート!V126)</f>
        <v/>
      </c>
      <c r="J104" s="304" t="str">
        <f>IF(基本情報入力シート!W126="", "", 基本情報入力シート!W126)</f>
        <v/>
      </c>
      <c r="K104" s="304" t="str">
        <f>IF(基本情報入力シート!Z126="", "", 基本情報入力シート!Z126)</f>
        <v/>
      </c>
      <c r="L104" s="558" t="str">
        <f>IF(基本情報入力シート!AF126=0, "",基本情報入力シート!AF126)</f>
        <v/>
      </c>
      <c r="M104" s="588"/>
      <c r="N104" s="522" t="str">
        <f>IFERROR(VLOOKUP(K104,【参考】数式用!$A$2:$F$57,MATCH(M104,【参考】数式用!$C$3:$F$3,0)+2,0),"")</f>
        <v/>
      </c>
      <c r="O104" s="511"/>
      <c r="P104" s="555" t="str">
        <f>IFERROR(VLOOKUP(K104,【参考】数式用!$A$2:$F$57,MATCH(O104,【参考】数式用!$C$3:$F$3,0)+2,0),"")</f>
        <v/>
      </c>
      <c r="Q104" s="310" t="s">
        <v>118</v>
      </c>
      <c r="R104" s="308"/>
      <c r="S104" s="309" t="s">
        <v>183</v>
      </c>
      <c r="T104" s="308"/>
      <c r="U104" s="309" t="s">
        <v>184</v>
      </c>
      <c r="V104" s="308"/>
      <c r="W104" s="309" t="s">
        <v>183</v>
      </c>
      <c r="X104" s="308"/>
      <c r="Y104" s="309" t="s">
        <v>185</v>
      </c>
      <c r="Z104" s="309" t="s">
        <v>186</v>
      </c>
      <c r="AA104" s="309" t="str">
        <f t="shared" si="53"/>
        <v/>
      </c>
      <c r="AB104" s="305" t="s">
        <v>187</v>
      </c>
      <c r="AC104" s="306" t="str">
        <f t="shared" si="43"/>
        <v/>
      </c>
      <c r="AD104" s="515" t="str">
        <f t="shared" si="44"/>
        <v/>
      </c>
      <c r="AE104" s="307" t="str">
        <f>IFERROR(ROUNDDOWN(ROUNDDOWN(ROUND(L104*VLOOKUP(K104,【参考】数式用!$A$4:$F$57,MATCH("処遇改善加算Ⅳ",【参考】数式用!$C$3:$F$3,0)+2,0),0),0)*AA104*0.5,0), "")</f>
        <v/>
      </c>
      <c r="AF104" s="318"/>
      <c r="AG104" s="319"/>
      <c r="AH104" s="319"/>
      <c r="AI104" s="318"/>
      <c r="AJ104" s="320"/>
      <c r="AK104" s="326"/>
      <c r="AL104" s="324" t="str">
        <f t="shared" si="33"/>
        <v/>
      </c>
      <c r="AM104" s="325" t="str">
        <f t="shared" si="52"/>
        <v/>
      </c>
      <c r="AN104" s="255"/>
      <c r="AO104" s="557" t="str">
        <f>IFERROR(VLOOKUP(K104,【参考】数式用!$A$2:$N$57,14,FALSE),"")</f>
        <v/>
      </c>
      <c r="AP104" s="557" t="str">
        <f t="shared" si="34"/>
        <v/>
      </c>
      <c r="AQ104" s="561" t="str">
        <f t="shared" si="35"/>
        <v/>
      </c>
      <c r="AR104" s="540" t="str">
        <f t="shared" si="36"/>
        <v>入力済</v>
      </c>
      <c r="AS104" s="578" t="str">
        <f t="shared" si="45"/>
        <v/>
      </c>
      <c r="AT104" s="540" t="str">
        <f t="shared" si="37"/>
        <v>入力済</v>
      </c>
      <c r="AU104" s="540" t="str">
        <f t="shared" si="46"/>
        <v/>
      </c>
      <c r="AV104" s="540" t="str">
        <f t="shared" si="38"/>
        <v/>
      </c>
      <c r="AW104" s="557" t="str">
        <f t="shared" si="39"/>
        <v/>
      </c>
      <c r="AX104" s="578" t="str">
        <f t="shared" si="47"/>
        <v/>
      </c>
      <c r="AY104" s="540" t="str">
        <f>IFERROR(VLOOKUP(K104,【参考】数式用!$AR$5:$AS$39,2, FALSE), "")</f>
        <v/>
      </c>
      <c r="AZ104" s="557" t="str">
        <f t="shared" si="48"/>
        <v/>
      </c>
      <c r="BA104" s="560" t="str">
        <f t="shared" si="40"/>
        <v>入力済</v>
      </c>
      <c r="BB104" s="540" t="str">
        <f>IFERROR(VLOOKUP(K104,【参考】数式用!$AX$3:$AY$59, 2, FALSE), "")</f>
        <v/>
      </c>
      <c r="BC104" s="578" t="str">
        <f t="shared" si="49"/>
        <v/>
      </c>
      <c r="BD104" s="560" t="str">
        <f t="shared" si="41"/>
        <v>入力済</v>
      </c>
      <c r="BE104" s="577" t="str">
        <f t="shared" si="50"/>
        <v/>
      </c>
      <c r="BF104" s="560" t="str">
        <f t="shared" si="42"/>
        <v/>
      </c>
      <c r="BG104" s="597"/>
      <c r="BH104" s="593" t="str">
        <f t="shared" si="51"/>
        <v/>
      </c>
      <c r="BI104" s="616" t="str">
        <f>IF(BH104="Ⅱロ有り",ROUNDDOWN(L104*VLOOKUP(K104,【参考】数式用!$A$4:$J$42,10,FALSE)*AA104,0),"")</f>
        <v/>
      </c>
      <c r="BJ104" s="616" t="str">
        <f>IF(BH104="Ⅱロなし",ROUNDDOWN(L104*VLOOKUP(K104,【参考】数式用!$A$4:$J$42,8,FALSE)*AA104,0),"")</f>
        <v/>
      </c>
    </row>
    <row r="105" spans="1:62" ht="109.9" customHeight="1" thickBot="1">
      <c r="A105" s="303">
        <v>92</v>
      </c>
      <c r="B105" s="956" t="str">
        <f>IF(基本情報入力シート!B127="","",基本情報入力シート!B127)</f>
        <v/>
      </c>
      <c r="C105" s="957"/>
      <c r="D105" s="957"/>
      <c r="E105" s="957"/>
      <c r="F105" s="958"/>
      <c r="G105" s="304" t="str">
        <f>IF(基本情報入力シート!L127="", "", 基本情報入力シート!L127)</f>
        <v/>
      </c>
      <c r="H105" s="304" t="str">
        <f>IF(基本情報入力シート!Q127="", "", 基本情報入力シート!Q127)</f>
        <v/>
      </c>
      <c r="I105" s="304" t="str">
        <f>IF(基本情報入力シート!V127="", "", 基本情報入力シート!V127)</f>
        <v/>
      </c>
      <c r="J105" s="304" t="str">
        <f>IF(基本情報入力シート!W127="", "", 基本情報入力シート!W127)</f>
        <v/>
      </c>
      <c r="K105" s="304" t="str">
        <f>IF(基本情報入力シート!Z127="", "", 基本情報入力シート!Z127)</f>
        <v/>
      </c>
      <c r="L105" s="558" t="str">
        <f>IF(基本情報入力シート!AF127=0, "",基本情報入力シート!AF127)</f>
        <v/>
      </c>
      <c r="M105" s="588"/>
      <c r="N105" s="522" t="str">
        <f>IFERROR(VLOOKUP(K105,【参考】数式用!$A$2:$F$57,MATCH(M105,【参考】数式用!$C$3:$F$3,0)+2,0),"")</f>
        <v/>
      </c>
      <c r="O105" s="511"/>
      <c r="P105" s="555" t="str">
        <f>IFERROR(VLOOKUP(K105,【参考】数式用!$A$2:$F$57,MATCH(O105,【参考】数式用!$C$3:$F$3,0)+2,0),"")</f>
        <v/>
      </c>
      <c r="Q105" s="310" t="s">
        <v>118</v>
      </c>
      <c r="R105" s="308"/>
      <c r="S105" s="309" t="s">
        <v>183</v>
      </c>
      <c r="T105" s="308"/>
      <c r="U105" s="309" t="s">
        <v>184</v>
      </c>
      <c r="V105" s="308"/>
      <c r="W105" s="309" t="s">
        <v>183</v>
      </c>
      <c r="X105" s="308"/>
      <c r="Y105" s="309" t="s">
        <v>185</v>
      </c>
      <c r="Z105" s="309" t="s">
        <v>186</v>
      </c>
      <c r="AA105" s="309" t="str">
        <f t="shared" si="53"/>
        <v/>
      </c>
      <c r="AB105" s="305" t="s">
        <v>187</v>
      </c>
      <c r="AC105" s="306" t="str">
        <f t="shared" si="43"/>
        <v/>
      </c>
      <c r="AD105" s="515" t="str">
        <f t="shared" si="44"/>
        <v/>
      </c>
      <c r="AE105" s="307" t="str">
        <f>IFERROR(ROUNDDOWN(ROUNDDOWN(ROUND(L105*VLOOKUP(K105,【参考】数式用!$A$4:$F$57,MATCH("処遇改善加算Ⅳ",【参考】数式用!$C$3:$F$3,0)+2,0),0),0)*AA105*0.5,0), "")</f>
        <v/>
      </c>
      <c r="AF105" s="318"/>
      <c r="AG105" s="319"/>
      <c r="AH105" s="319"/>
      <c r="AI105" s="318"/>
      <c r="AJ105" s="320"/>
      <c r="AK105" s="326"/>
      <c r="AL105" s="324" t="str">
        <f t="shared" si="33"/>
        <v/>
      </c>
      <c r="AM105" s="325" t="str">
        <f t="shared" si="52"/>
        <v/>
      </c>
      <c r="AN105" s="255"/>
      <c r="AO105" s="557" t="str">
        <f>IFERROR(VLOOKUP(K105,【参考】数式用!$A$2:$N$57,14,FALSE),"")</f>
        <v/>
      </c>
      <c r="AP105" s="557" t="str">
        <f t="shared" si="34"/>
        <v/>
      </c>
      <c r="AQ105" s="561" t="str">
        <f t="shared" si="35"/>
        <v/>
      </c>
      <c r="AR105" s="540" t="str">
        <f t="shared" si="36"/>
        <v>入力済</v>
      </c>
      <c r="AS105" s="578" t="str">
        <f t="shared" si="45"/>
        <v/>
      </c>
      <c r="AT105" s="540" t="str">
        <f t="shared" si="37"/>
        <v>入力済</v>
      </c>
      <c r="AU105" s="540" t="str">
        <f t="shared" si="46"/>
        <v/>
      </c>
      <c r="AV105" s="540" t="str">
        <f t="shared" si="38"/>
        <v/>
      </c>
      <c r="AW105" s="557" t="str">
        <f t="shared" si="39"/>
        <v/>
      </c>
      <c r="AX105" s="578" t="str">
        <f t="shared" si="47"/>
        <v/>
      </c>
      <c r="AY105" s="540" t="str">
        <f>IFERROR(VLOOKUP(K105,【参考】数式用!$AR$5:$AS$39,2, FALSE), "")</f>
        <v/>
      </c>
      <c r="AZ105" s="557" t="str">
        <f t="shared" si="48"/>
        <v/>
      </c>
      <c r="BA105" s="560" t="str">
        <f t="shared" si="40"/>
        <v>入力済</v>
      </c>
      <c r="BB105" s="540" t="str">
        <f>IFERROR(VLOOKUP(K105,【参考】数式用!$AX$3:$AY$59, 2, FALSE), "")</f>
        <v/>
      </c>
      <c r="BC105" s="578" t="str">
        <f t="shared" si="49"/>
        <v/>
      </c>
      <c r="BD105" s="560" t="str">
        <f t="shared" si="41"/>
        <v>入力済</v>
      </c>
      <c r="BE105" s="577" t="str">
        <f t="shared" si="50"/>
        <v/>
      </c>
      <c r="BF105" s="560" t="str">
        <f t="shared" si="42"/>
        <v/>
      </c>
      <c r="BG105" s="597"/>
      <c r="BH105" s="593" t="str">
        <f t="shared" si="51"/>
        <v/>
      </c>
      <c r="BI105" s="616" t="str">
        <f>IF(BH105="Ⅱロ有り",ROUNDDOWN(L105*VLOOKUP(K105,【参考】数式用!$A$4:$J$42,10,FALSE)*AA105,0),"")</f>
        <v/>
      </c>
      <c r="BJ105" s="616" t="str">
        <f>IF(BH105="Ⅱロなし",ROUNDDOWN(L105*VLOOKUP(K105,【参考】数式用!$A$4:$J$42,8,FALSE)*AA105,0),"")</f>
        <v/>
      </c>
    </row>
    <row r="106" spans="1:62" ht="109.9" customHeight="1" thickBot="1">
      <c r="A106" s="303">
        <v>93</v>
      </c>
      <c r="B106" s="956" t="str">
        <f>IF(基本情報入力シート!B128="","",基本情報入力シート!B128)</f>
        <v/>
      </c>
      <c r="C106" s="957"/>
      <c r="D106" s="957"/>
      <c r="E106" s="957"/>
      <c r="F106" s="958"/>
      <c r="G106" s="304" t="str">
        <f>IF(基本情報入力シート!L128="", "", 基本情報入力シート!L128)</f>
        <v/>
      </c>
      <c r="H106" s="304" t="str">
        <f>IF(基本情報入力シート!Q128="", "", 基本情報入力シート!Q128)</f>
        <v/>
      </c>
      <c r="I106" s="304" t="str">
        <f>IF(基本情報入力シート!V128="", "", 基本情報入力シート!V128)</f>
        <v/>
      </c>
      <c r="J106" s="304" t="str">
        <f>IF(基本情報入力シート!W128="", "", 基本情報入力シート!W128)</f>
        <v/>
      </c>
      <c r="K106" s="304" t="str">
        <f>IF(基本情報入力シート!Z128="", "", 基本情報入力シート!Z128)</f>
        <v/>
      </c>
      <c r="L106" s="558" t="str">
        <f>IF(基本情報入力シート!AF128=0, "",基本情報入力シート!AF128)</f>
        <v/>
      </c>
      <c r="M106" s="588"/>
      <c r="N106" s="522" t="str">
        <f>IFERROR(VLOOKUP(K106,【参考】数式用!$A$2:$F$57,MATCH(M106,【参考】数式用!$C$3:$F$3,0)+2,0),"")</f>
        <v/>
      </c>
      <c r="O106" s="511"/>
      <c r="P106" s="555" t="str">
        <f>IFERROR(VLOOKUP(K106,【参考】数式用!$A$2:$F$57,MATCH(O106,【参考】数式用!$C$3:$F$3,0)+2,0),"")</f>
        <v/>
      </c>
      <c r="Q106" s="310" t="s">
        <v>118</v>
      </c>
      <c r="R106" s="308"/>
      <c r="S106" s="309" t="s">
        <v>183</v>
      </c>
      <c r="T106" s="308"/>
      <c r="U106" s="309" t="s">
        <v>184</v>
      </c>
      <c r="V106" s="308"/>
      <c r="W106" s="309" t="s">
        <v>183</v>
      </c>
      <c r="X106" s="308"/>
      <c r="Y106" s="309" t="s">
        <v>185</v>
      </c>
      <c r="Z106" s="309" t="s">
        <v>186</v>
      </c>
      <c r="AA106" s="309" t="str">
        <f t="shared" si="53"/>
        <v/>
      </c>
      <c r="AB106" s="305" t="s">
        <v>187</v>
      </c>
      <c r="AC106" s="306" t="str">
        <f t="shared" si="43"/>
        <v/>
      </c>
      <c r="AD106" s="515" t="str">
        <f t="shared" si="44"/>
        <v/>
      </c>
      <c r="AE106" s="307" t="str">
        <f>IFERROR(ROUNDDOWN(ROUNDDOWN(ROUND(L106*VLOOKUP(K106,【参考】数式用!$A$4:$F$57,MATCH("処遇改善加算Ⅳ",【参考】数式用!$C$3:$F$3,0)+2,0),0),0)*AA106*0.5,0), "")</f>
        <v/>
      </c>
      <c r="AF106" s="318"/>
      <c r="AG106" s="319"/>
      <c r="AH106" s="319"/>
      <c r="AI106" s="318"/>
      <c r="AJ106" s="320"/>
      <c r="AK106" s="326"/>
      <c r="AL106" s="324" t="str">
        <f t="shared" si="33"/>
        <v/>
      </c>
      <c r="AM106" s="325" t="str">
        <f t="shared" si="52"/>
        <v/>
      </c>
      <c r="AN106" s="255"/>
      <c r="AO106" s="557" t="str">
        <f>IFERROR(VLOOKUP(K106,【参考】数式用!$A$2:$N$57,14,FALSE),"")</f>
        <v/>
      </c>
      <c r="AP106" s="557" t="str">
        <f t="shared" si="34"/>
        <v/>
      </c>
      <c r="AQ106" s="561" t="str">
        <f t="shared" si="35"/>
        <v/>
      </c>
      <c r="AR106" s="540" t="str">
        <f t="shared" si="36"/>
        <v>入力済</v>
      </c>
      <c r="AS106" s="578" t="str">
        <f t="shared" si="45"/>
        <v/>
      </c>
      <c r="AT106" s="540" t="str">
        <f t="shared" si="37"/>
        <v>入力済</v>
      </c>
      <c r="AU106" s="540" t="str">
        <f t="shared" si="46"/>
        <v/>
      </c>
      <c r="AV106" s="540" t="str">
        <f t="shared" si="38"/>
        <v/>
      </c>
      <c r="AW106" s="557" t="str">
        <f t="shared" si="39"/>
        <v/>
      </c>
      <c r="AX106" s="578" t="str">
        <f t="shared" si="47"/>
        <v/>
      </c>
      <c r="AY106" s="540" t="str">
        <f>IFERROR(VLOOKUP(K106,【参考】数式用!$AR$5:$AS$39,2, FALSE), "")</f>
        <v/>
      </c>
      <c r="AZ106" s="557" t="str">
        <f t="shared" si="48"/>
        <v/>
      </c>
      <c r="BA106" s="560" t="str">
        <f t="shared" si="40"/>
        <v>入力済</v>
      </c>
      <c r="BB106" s="540" t="str">
        <f>IFERROR(VLOOKUP(K106,【参考】数式用!$AX$3:$AY$59, 2, FALSE), "")</f>
        <v/>
      </c>
      <c r="BC106" s="578" t="str">
        <f t="shared" si="49"/>
        <v/>
      </c>
      <c r="BD106" s="560" t="str">
        <f t="shared" si="41"/>
        <v>入力済</v>
      </c>
      <c r="BE106" s="577" t="str">
        <f t="shared" si="50"/>
        <v/>
      </c>
      <c r="BF106" s="560" t="str">
        <f t="shared" si="42"/>
        <v/>
      </c>
      <c r="BG106" s="597"/>
      <c r="BH106" s="593" t="str">
        <f t="shared" si="51"/>
        <v/>
      </c>
      <c r="BI106" s="616" t="str">
        <f>IF(BH106="Ⅱロ有り",ROUNDDOWN(L106*VLOOKUP(K106,【参考】数式用!$A$4:$J$42,10,FALSE)*AA106,0),"")</f>
        <v/>
      </c>
      <c r="BJ106" s="616" t="str">
        <f>IF(BH106="Ⅱロなし",ROUNDDOWN(L106*VLOOKUP(K106,【参考】数式用!$A$4:$J$42,8,FALSE)*AA106,0),"")</f>
        <v/>
      </c>
    </row>
    <row r="107" spans="1:62" ht="109.9" customHeight="1" thickBot="1">
      <c r="A107" s="303">
        <v>94</v>
      </c>
      <c r="B107" s="956" t="str">
        <f>IF(基本情報入力シート!B129="","",基本情報入力シート!B129)</f>
        <v/>
      </c>
      <c r="C107" s="957"/>
      <c r="D107" s="957"/>
      <c r="E107" s="957"/>
      <c r="F107" s="958"/>
      <c r="G107" s="304" t="str">
        <f>IF(基本情報入力シート!L129="", "", 基本情報入力シート!L129)</f>
        <v/>
      </c>
      <c r="H107" s="304" t="str">
        <f>IF(基本情報入力シート!Q129="", "", 基本情報入力シート!Q129)</f>
        <v/>
      </c>
      <c r="I107" s="304" t="str">
        <f>IF(基本情報入力シート!V129="", "", 基本情報入力シート!V129)</f>
        <v/>
      </c>
      <c r="J107" s="304" t="str">
        <f>IF(基本情報入力シート!W129="", "", 基本情報入力シート!W129)</f>
        <v/>
      </c>
      <c r="K107" s="304" t="str">
        <f>IF(基本情報入力シート!Z129="", "", 基本情報入力シート!Z129)</f>
        <v/>
      </c>
      <c r="L107" s="558" t="str">
        <f>IF(基本情報入力シート!AF129=0, "",基本情報入力シート!AF129)</f>
        <v/>
      </c>
      <c r="M107" s="588"/>
      <c r="N107" s="522" t="str">
        <f>IFERROR(VLOOKUP(K107,【参考】数式用!$A$2:$F$57,MATCH(M107,【参考】数式用!$C$3:$F$3,0)+2,0),"")</f>
        <v/>
      </c>
      <c r="O107" s="511"/>
      <c r="P107" s="555" t="str">
        <f>IFERROR(VLOOKUP(K107,【参考】数式用!$A$2:$F$57,MATCH(O107,【参考】数式用!$C$3:$F$3,0)+2,0),"")</f>
        <v/>
      </c>
      <c r="Q107" s="310" t="s">
        <v>118</v>
      </c>
      <c r="R107" s="308"/>
      <c r="S107" s="309" t="s">
        <v>183</v>
      </c>
      <c r="T107" s="308"/>
      <c r="U107" s="309" t="s">
        <v>184</v>
      </c>
      <c r="V107" s="308"/>
      <c r="W107" s="309" t="s">
        <v>183</v>
      </c>
      <c r="X107" s="308"/>
      <c r="Y107" s="309" t="s">
        <v>185</v>
      </c>
      <c r="Z107" s="309" t="s">
        <v>186</v>
      </c>
      <c r="AA107" s="309" t="str">
        <f t="shared" si="53"/>
        <v/>
      </c>
      <c r="AB107" s="305" t="s">
        <v>187</v>
      </c>
      <c r="AC107" s="306" t="str">
        <f t="shared" si="43"/>
        <v/>
      </c>
      <c r="AD107" s="515" t="str">
        <f t="shared" si="44"/>
        <v/>
      </c>
      <c r="AE107" s="307" t="str">
        <f>IFERROR(ROUNDDOWN(ROUNDDOWN(ROUND(L107*VLOOKUP(K107,【参考】数式用!$A$4:$F$57,MATCH("処遇改善加算Ⅳ",【参考】数式用!$C$3:$F$3,0)+2,0),0),0)*AA107*0.5,0), "")</f>
        <v/>
      </c>
      <c r="AF107" s="318"/>
      <c r="AG107" s="319"/>
      <c r="AH107" s="319"/>
      <c r="AI107" s="318"/>
      <c r="AJ107" s="320"/>
      <c r="AK107" s="326"/>
      <c r="AL107" s="324" t="str">
        <f t="shared" si="33"/>
        <v/>
      </c>
      <c r="AM107" s="325" t="str">
        <f t="shared" si="52"/>
        <v/>
      </c>
      <c r="AN107" s="255"/>
      <c r="AO107" s="557" t="str">
        <f>IFERROR(VLOOKUP(K107,【参考】数式用!$A$2:$N$57,14,FALSE),"")</f>
        <v/>
      </c>
      <c r="AP107" s="557" t="str">
        <f t="shared" si="34"/>
        <v/>
      </c>
      <c r="AQ107" s="561" t="str">
        <f t="shared" si="35"/>
        <v/>
      </c>
      <c r="AR107" s="540" t="str">
        <f t="shared" si="36"/>
        <v>入力済</v>
      </c>
      <c r="AS107" s="578" t="str">
        <f t="shared" si="45"/>
        <v/>
      </c>
      <c r="AT107" s="540" t="str">
        <f t="shared" si="37"/>
        <v>入力済</v>
      </c>
      <c r="AU107" s="540" t="str">
        <f t="shared" si="46"/>
        <v/>
      </c>
      <c r="AV107" s="540" t="str">
        <f t="shared" si="38"/>
        <v/>
      </c>
      <c r="AW107" s="557" t="str">
        <f t="shared" si="39"/>
        <v/>
      </c>
      <c r="AX107" s="578" t="str">
        <f t="shared" si="47"/>
        <v/>
      </c>
      <c r="AY107" s="540" t="str">
        <f>IFERROR(VLOOKUP(K107,【参考】数式用!$AR$5:$AS$39,2, FALSE), "")</f>
        <v/>
      </c>
      <c r="AZ107" s="557" t="str">
        <f t="shared" si="48"/>
        <v/>
      </c>
      <c r="BA107" s="560" t="str">
        <f t="shared" si="40"/>
        <v>入力済</v>
      </c>
      <c r="BB107" s="540" t="str">
        <f>IFERROR(VLOOKUP(K107,【参考】数式用!$AX$3:$AY$59, 2, FALSE), "")</f>
        <v/>
      </c>
      <c r="BC107" s="578" t="str">
        <f t="shared" si="49"/>
        <v/>
      </c>
      <c r="BD107" s="560" t="str">
        <f t="shared" si="41"/>
        <v>入力済</v>
      </c>
      <c r="BE107" s="577" t="str">
        <f t="shared" si="50"/>
        <v/>
      </c>
      <c r="BF107" s="560" t="str">
        <f t="shared" si="42"/>
        <v/>
      </c>
      <c r="BG107" s="597"/>
      <c r="BH107" s="593" t="str">
        <f t="shared" si="51"/>
        <v/>
      </c>
      <c r="BI107" s="616" t="str">
        <f>IF(BH107="Ⅱロ有り",ROUNDDOWN(L107*VLOOKUP(K107,【参考】数式用!$A$4:$J$42,10,FALSE)*AA107,0),"")</f>
        <v/>
      </c>
      <c r="BJ107" s="616" t="str">
        <f>IF(BH107="Ⅱロなし",ROUNDDOWN(L107*VLOOKUP(K107,【参考】数式用!$A$4:$J$42,8,FALSE)*AA107,0),"")</f>
        <v/>
      </c>
    </row>
    <row r="108" spans="1:62" ht="109.9" customHeight="1" thickBot="1">
      <c r="A108" s="303">
        <v>95</v>
      </c>
      <c r="B108" s="956" t="str">
        <f>IF(基本情報入力シート!B130="","",基本情報入力シート!B130)</f>
        <v/>
      </c>
      <c r="C108" s="957"/>
      <c r="D108" s="957"/>
      <c r="E108" s="957"/>
      <c r="F108" s="958"/>
      <c r="G108" s="304" t="str">
        <f>IF(基本情報入力シート!L130="", "", 基本情報入力シート!L130)</f>
        <v/>
      </c>
      <c r="H108" s="304" t="str">
        <f>IF(基本情報入力シート!Q130="", "", 基本情報入力シート!Q130)</f>
        <v/>
      </c>
      <c r="I108" s="304" t="str">
        <f>IF(基本情報入力シート!V130="", "", 基本情報入力シート!V130)</f>
        <v/>
      </c>
      <c r="J108" s="304" t="str">
        <f>IF(基本情報入力シート!W130="", "", 基本情報入力シート!W130)</f>
        <v/>
      </c>
      <c r="K108" s="304" t="str">
        <f>IF(基本情報入力シート!Z130="", "", 基本情報入力シート!Z130)</f>
        <v/>
      </c>
      <c r="L108" s="558" t="str">
        <f>IF(基本情報入力シート!AF130=0, "",基本情報入力シート!AF130)</f>
        <v/>
      </c>
      <c r="M108" s="588"/>
      <c r="N108" s="522" t="str">
        <f>IFERROR(VLOOKUP(K108,【参考】数式用!$A$2:$F$57,MATCH(M108,【参考】数式用!$C$3:$F$3,0)+2,0),"")</f>
        <v/>
      </c>
      <c r="O108" s="511"/>
      <c r="P108" s="555" t="str">
        <f>IFERROR(VLOOKUP(K108,【参考】数式用!$A$2:$F$57,MATCH(O108,【参考】数式用!$C$3:$F$3,0)+2,0),"")</f>
        <v/>
      </c>
      <c r="Q108" s="310" t="s">
        <v>118</v>
      </c>
      <c r="R108" s="308"/>
      <c r="S108" s="309" t="s">
        <v>183</v>
      </c>
      <c r="T108" s="308"/>
      <c r="U108" s="309" t="s">
        <v>184</v>
      </c>
      <c r="V108" s="308"/>
      <c r="W108" s="309" t="s">
        <v>183</v>
      </c>
      <c r="X108" s="308"/>
      <c r="Y108" s="309" t="s">
        <v>185</v>
      </c>
      <c r="Z108" s="309" t="s">
        <v>186</v>
      </c>
      <c r="AA108" s="309" t="str">
        <f t="shared" si="53"/>
        <v/>
      </c>
      <c r="AB108" s="305" t="s">
        <v>187</v>
      </c>
      <c r="AC108" s="306" t="str">
        <f t="shared" si="43"/>
        <v/>
      </c>
      <c r="AD108" s="515" t="str">
        <f t="shared" si="44"/>
        <v/>
      </c>
      <c r="AE108" s="307" t="str">
        <f>IFERROR(ROUNDDOWN(ROUNDDOWN(ROUND(L108*VLOOKUP(K108,【参考】数式用!$A$4:$F$57,MATCH("処遇改善加算Ⅳ",【参考】数式用!$C$3:$F$3,0)+2,0),0),0)*AA108*0.5,0), "")</f>
        <v/>
      </c>
      <c r="AF108" s="318"/>
      <c r="AG108" s="319"/>
      <c r="AH108" s="319"/>
      <c r="AI108" s="318"/>
      <c r="AJ108" s="320"/>
      <c r="AK108" s="326"/>
      <c r="AL108" s="324" t="str">
        <f t="shared" si="33"/>
        <v/>
      </c>
      <c r="AM108" s="325" t="str">
        <f t="shared" si="52"/>
        <v/>
      </c>
      <c r="AN108" s="255"/>
      <c r="AO108" s="557" t="str">
        <f>IFERROR(VLOOKUP(K108,【参考】数式用!$A$2:$N$57,14,FALSE),"")</f>
        <v/>
      </c>
      <c r="AP108" s="557" t="str">
        <f t="shared" si="34"/>
        <v/>
      </c>
      <c r="AQ108" s="561" t="str">
        <f t="shared" si="35"/>
        <v/>
      </c>
      <c r="AR108" s="540" t="str">
        <f t="shared" si="36"/>
        <v>入力済</v>
      </c>
      <c r="AS108" s="578" t="str">
        <f t="shared" si="45"/>
        <v/>
      </c>
      <c r="AT108" s="540" t="str">
        <f t="shared" si="37"/>
        <v>入力済</v>
      </c>
      <c r="AU108" s="540" t="str">
        <f t="shared" si="46"/>
        <v/>
      </c>
      <c r="AV108" s="540" t="str">
        <f t="shared" si="38"/>
        <v/>
      </c>
      <c r="AW108" s="557" t="str">
        <f t="shared" si="39"/>
        <v/>
      </c>
      <c r="AX108" s="578" t="str">
        <f t="shared" si="47"/>
        <v/>
      </c>
      <c r="AY108" s="540" t="str">
        <f>IFERROR(VLOOKUP(K108,【参考】数式用!$AR$5:$AS$39,2, FALSE), "")</f>
        <v/>
      </c>
      <c r="AZ108" s="557" t="str">
        <f t="shared" si="48"/>
        <v/>
      </c>
      <c r="BA108" s="560" t="str">
        <f t="shared" si="40"/>
        <v>入力済</v>
      </c>
      <c r="BB108" s="540" t="str">
        <f>IFERROR(VLOOKUP(K108,【参考】数式用!$AX$3:$AY$59, 2, FALSE), "")</f>
        <v/>
      </c>
      <c r="BC108" s="578" t="str">
        <f t="shared" si="49"/>
        <v/>
      </c>
      <c r="BD108" s="560" t="str">
        <f t="shared" si="41"/>
        <v>入力済</v>
      </c>
      <c r="BE108" s="577" t="str">
        <f t="shared" si="50"/>
        <v/>
      </c>
      <c r="BF108" s="560" t="str">
        <f t="shared" si="42"/>
        <v/>
      </c>
      <c r="BG108" s="597"/>
      <c r="BH108" s="593" t="str">
        <f t="shared" si="51"/>
        <v/>
      </c>
      <c r="BI108" s="616" t="str">
        <f>IF(BH108="Ⅱロ有り",ROUNDDOWN(L108*VLOOKUP(K108,【参考】数式用!$A$4:$J$42,10,FALSE)*AA108,0),"")</f>
        <v/>
      </c>
      <c r="BJ108" s="616" t="str">
        <f>IF(BH108="Ⅱロなし",ROUNDDOWN(L108*VLOOKUP(K108,【参考】数式用!$A$4:$J$42,8,FALSE)*AA108,0),"")</f>
        <v/>
      </c>
    </row>
    <row r="109" spans="1:62" ht="109.9" customHeight="1" thickBot="1">
      <c r="A109" s="303">
        <v>96</v>
      </c>
      <c r="B109" s="956" t="str">
        <f>IF(基本情報入力シート!B131="","",基本情報入力シート!B131)</f>
        <v/>
      </c>
      <c r="C109" s="957"/>
      <c r="D109" s="957"/>
      <c r="E109" s="957"/>
      <c r="F109" s="958"/>
      <c r="G109" s="304" t="str">
        <f>IF(基本情報入力シート!L131="", "", 基本情報入力シート!L131)</f>
        <v/>
      </c>
      <c r="H109" s="304" t="str">
        <f>IF(基本情報入力シート!Q131="", "", 基本情報入力シート!Q131)</f>
        <v/>
      </c>
      <c r="I109" s="304" t="str">
        <f>IF(基本情報入力シート!V131="", "", 基本情報入力シート!V131)</f>
        <v/>
      </c>
      <c r="J109" s="304" t="str">
        <f>IF(基本情報入力シート!W131="", "", 基本情報入力シート!W131)</f>
        <v/>
      </c>
      <c r="K109" s="304" t="str">
        <f>IF(基本情報入力シート!Z131="", "", 基本情報入力シート!Z131)</f>
        <v/>
      </c>
      <c r="L109" s="558" t="str">
        <f>IF(基本情報入力シート!AF131=0, "",基本情報入力シート!AF131)</f>
        <v/>
      </c>
      <c r="M109" s="588"/>
      <c r="N109" s="522" t="str">
        <f>IFERROR(VLOOKUP(K109,【参考】数式用!$A$2:$F$57,MATCH(M109,【参考】数式用!$C$3:$F$3,0)+2,0),"")</f>
        <v/>
      </c>
      <c r="O109" s="511"/>
      <c r="P109" s="555" t="str">
        <f>IFERROR(VLOOKUP(K109,【参考】数式用!$A$2:$F$57,MATCH(O109,【参考】数式用!$C$3:$F$3,0)+2,0),"")</f>
        <v/>
      </c>
      <c r="Q109" s="310" t="s">
        <v>118</v>
      </c>
      <c r="R109" s="308"/>
      <c r="S109" s="309" t="s">
        <v>183</v>
      </c>
      <c r="T109" s="308"/>
      <c r="U109" s="309" t="s">
        <v>184</v>
      </c>
      <c r="V109" s="308"/>
      <c r="W109" s="309" t="s">
        <v>183</v>
      </c>
      <c r="X109" s="308"/>
      <c r="Y109" s="309" t="s">
        <v>185</v>
      </c>
      <c r="Z109" s="309" t="s">
        <v>186</v>
      </c>
      <c r="AA109" s="309" t="str">
        <f t="shared" si="53"/>
        <v/>
      </c>
      <c r="AB109" s="305" t="s">
        <v>187</v>
      </c>
      <c r="AC109" s="306" t="str">
        <f t="shared" si="43"/>
        <v/>
      </c>
      <c r="AD109" s="515" t="str">
        <f t="shared" si="44"/>
        <v/>
      </c>
      <c r="AE109" s="307" t="str">
        <f>IFERROR(ROUNDDOWN(ROUNDDOWN(ROUND(L109*VLOOKUP(K109,【参考】数式用!$A$4:$F$57,MATCH("処遇改善加算Ⅳ",【参考】数式用!$C$3:$F$3,0)+2,0),0),0)*AA109*0.5,0), "")</f>
        <v/>
      </c>
      <c r="AF109" s="318"/>
      <c r="AG109" s="319"/>
      <c r="AH109" s="319"/>
      <c r="AI109" s="318"/>
      <c r="AJ109" s="320"/>
      <c r="AK109" s="326"/>
      <c r="AL109" s="324" t="str">
        <f t="shared" si="33"/>
        <v/>
      </c>
      <c r="AM109" s="325" t="str">
        <f t="shared" si="52"/>
        <v/>
      </c>
      <c r="AN109" s="255"/>
      <c r="AO109" s="557" t="str">
        <f>IFERROR(VLOOKUP(K109,【参考】数式用!$A$2:$N$57,14,FALSE),"")</f>
        <v/>
      </c>
      <c r="AP109" s="557" t="str">
        <f t="shared" ref="AP109:AP113" si="54">IF(AND(K109&lt;&gt;"",AO109="加算対象"),"N列に色付け","")</f>
        <v/>
      </c>
      <c r="AQ109" s="561" t="str">
        <f t="shared" si="35"/>
        <v/>
      </c>
      <c r="AR109" s="540" t="str">
        <f t="shared" si="36"/>
        <v>入力済</v>
      </c>
      <c r="AS109" s="578" t="str">
        <f t="shared" si="45"/>
        <v/>
      </c>
      <c r="AT109" s="540" t="str">
        <f t="shared" si="37"/>
        <v>入力済</v>
      </c>
      <c r="AU109" s="540" t="str">
        <f t="shared" si="46"/>
        <v/>
      </c>
      <c r="AV109" s="540" t="str">
        <f t="shared" ref="AV109:AV113" si="55">IF(AND(AO109="加算対象",O109&lt;&gt;"処遇改善加算Ⅲ",O109&lt;&gt;"処遇改善加算Ⅳ", O109&lt;&gt;"", AU109&lt;&gt;"対象外"), 1,"")</f>
        <v/>
      </c>
      <c r="AW109" s="557" t="str">
        <f t="shared" ref="AW109:AW113" si="56">IF(AND(AV109=1, OR(AI109=0,AI109=""),AO109="加算対象"),"AH列に色付け","")</f>
        <v/>
      </c>
      <c r="AX109" s="578" t="str">
        <f t="shared" si="47"/>
        <v/>
      </c>
      <c r="AY109" s="540" t="str">
        <f>IFERROR(VLOOKUP(K109,【参考】数式用!$AR$5:$AS$39,2, FALSE), "")</f>
        <v/>
      </c>
      <c r="AZ109" s="557" t="str">
        <f t="shared" si="48"/>
        <v/>
      </c>
      <c r="BA109" s="560" t="str">
        <f t="shared" si="40"/>
        <v>入力済</v>
      </c>
      <c r="BB109" s="540" t="str">
        <f>IFERROR(VLOOKUP(K109,【参考】数式用!$AX$3:$AY$59, 2, FALSE), "")</f>
        <v/>
      </c>
      <c r="BC109" s="578" t="str">
        <f t="shared" si="49"/>
        <v/>
      </c>
      <c r="BD109" s="560" t="str">
        <f t="shared" si="41"/>
        <v>入力済</v>
      </c>
      <c r="BE109" s="577" t="str">
        <f t="shared" si="50"/>
        <v/>
      </c>
      <c r="BF109" s="560" t="str">
        <f t="shared" si="42"/>
        <v/>
      </c>
      <c r="BG109" s="597"/>
      <c r="BH109" s="593" t="str">
        <f t="shared" si="51"/>
        <v/>
      </c>
      <c r="BI109" s="616" t="str">
        <f>IF(BH109="Ⅱロ有り",ROUNDDOWN(L109*VLOOKUP(K109,【参考】数式用!$A$4:$J$42,10,FALSE)*AA109,0),"")</f>
        <v/>
      </c>
      <c r="BJ109" s="616" t="str">
        <f>IF(BH109="Ⅱロなし",ROUNDDOWN(L109*VLOOKUP(K109,【参考】数式用!$A$4:$J$42,8,FALSE)*AA109,0),"")</f>
        <v/>
      </c>
    </row>
    <row r="110" spans="1:62" ht="109.9" customHeight="1" thickBot="1">
      <c r="A110" s="303">
        <v>97</v>
      </c>
      <c r="B110" s="956" t="str">
        <f>IF(基本情報入力シート!B132="","",基本情報入力シート!B132)</f>
        <v/>
      </c>
      <c r="C110" s="957"/>
      <c r="D110" s="957"/>
      <c r="E110" s="957"/>
      <c r="F110" s="958"/>
      <c r="G110" s="304" t="str">
        <f>IF(基本情報入力シート!L132="", "", 基本情報入力シート!L132)</f>
        <v/>
      </c>
      <c r="H110" s="304" t="str">
        <f>IF(基本情報入力シート!Q132="", "", 基本情報入力シート!Q132)</f>
        <v/>
      </c>
      <c r="I110" s="304" t="str">
        <f>IF(基本情報入力シート!V132="", "", 基本情報入力シート!V132)</f>
        <v/>
      </c>
      <c r="J110" s="304" t="str">
        <f>IF(基本情報入力シート!W132="", "", 基本情報入力シート!W132)</f>
        <v/>
      </c>
      <c r="K110" s="304" t="str">
        <f>IF(基本情報入力シート!Z132="", "", 基本情報入力シート!Z132)</f>
        <v/>
      </c>
      <c r="L110" s="558" t="str">
        <f>IF(基本情報入力シート!AF132=0, "",基本情報入力シート!AF132)</f>
        <v/>
      </c>
      <c r="M110" s="588"/>
      <c r="N110" s="522" t="str">
        <f>IFERROR(VLOOKUP(K110,【参考】数式用!$A$2:$F$57,MATCH(M110,【参考】数式用!$C$3:$F$3,0)+2,0),"")</f>
        <v/>
      </c>
      <c r="O110" s="511"/>
      <c r="P110" s="555" t="str">
        <f>IFERROR(VLOOKUP(K110,【参考】数式用!$A$2:$F$57,MATCH(O110,【参考】数式用!$C$3:$F$3,0)+2,0),"")</f>
        <v/>
      </c>
      <c r="Q110" s="310" t="s">
        <v>118</v>
      </c>
      <c r="R110" s="308"/>
      <c r="S110" s="309" t="s">
        <v>183</v>
      </c>
      <c r="T110" s="308"/>
      <c r="U110" s="309" t="s">
        <v>184</v>
      </c>
      <c r="V110" s="308"/>
      <c r="W110" s="309" t="s">
        <v>183</v>
      </c>
      <c r="X110" s="308"/>
      <c r="Y110" s="309" t="s">
        <v>185</v>
      </c>
      <c r="Z110" s="309" t="s">
        <v>186</v>
      </c>
      <c r="AA110" s="309" t="str">
        <f t="shared" si="53"/>
        <v/>
      </c>
      <c r="AB110" s="305" t="s">
        <v>187</v>
      </c>
      <c r="AC110" s="306" t="str">
        <f t="shared" si="43"/>
        <v/>
      </c>
      <c r="AD110" s="515" t="str">
        <f t="shared" si="44"/>
        <v/>
      </c>
      <c r="AE110" s="307" t="str">
        <f>IFERROR(ROUNDDOWN(ROUNDDOWN(ROUND(L110*VLOOKUP(K110,【参考】数式用!$A$4:$F$57,MATCH("処遇改善加算Ⅳ",【参考】数式用!$C$3:$F$3,0)+2,0),0),0)*AA110*0.5,0), "")</f>
        <v/>
      </c>
      <c r="AF110" s="318"/>
      <c r="AG110" s="319"/>
      <c r="AH110" s="319"/>
      <c r="AI110" s="318"/>
      <c r="AJ110" s="320"/>
      <c r="AK110" s="326"/>
      <c r="AL110" s="324" t="str">
        <f t="shared" si="33"/>
        <v/>
      </c>
      <c r="AM110" s="325" t="str">
        <f t="shared" si="52"/>
        <v/>
      </c>
      <c r="AN110" s="255"/>
      <c r="AO110" s="557" t="str">
        <f>IFERROR(VLOOKUP(K110,【参考】数式用!$A$2:$N$57,14,FALSE),"")</f>
        <v/>
      </c>
      <c r="AP110" s="557" t="str">
        <f t="shared" si="54"/>
        <v/>
      </c>
      <c r="AQ110" s="561" t="str">
        <f t="shared" si="35"/>
        <v/>
      </c>
      <c r="AR110" s="540" t="str">
        <f t="shared" si="36"/>
        <v>入力済</v>
      </c>
      <c r="AS110" s="578" t="str">
        <f t="shared" si="45"/>
        <v/>
      </c>
      <c r="AT110" s="540" t="str">
        <f t="shared" si="37"/>
        <v>入力済</v>
      </c>
      <c r="AU110" s="540" t="str">
        <f t="shared" si="46"/>
        <v/>
      </c>
      <c r="AV110" s="540" t="str">
        <f t="shared" si="55"/>
        <v/>
      </c>
      <c r="AW110" s="557" t="str">
        <f t="shared" si="56"/>
        <v/>
      </c>
      <c r="AX110" s="578" t="str">
        <f t="shared" si="47"/>
        <v/>
      </c>
      <c r="AY110" s="540" t="str">
        <f>IFERROR(VLOOKUP(K110,【参考】数式用!$AR$5:$AS$39,2, FALSE), "")</f>
        <v/>
      </c>
      <c r="AZ110" s="557" t="str">
        <f t="shared" si="48"/>
        <v/>
      </c>
      <c r="BA110" s="560" t="str">
        <f t="shared" si="40"/>
        <v>入力済</v>
      </c>
      <c r="BB110" s="540" t="str">
        <f>IFERROR(VLOOKUP(K110,【参考】数式用!$AX$3:$AY$59, 2, FALSE), "")</f>
        <v/>
      </c>
      <c r="BC110" s="578" t="str">
        <f t="shared" si="49"/>
        <v/>
      </c>
      <c r="BD110" s="560" t="str">
        <f t="shared" si="41"/>
        <v>入力済</v>
      </c>
      <c r="BE110" s="577" t="str">
        <f t="shared" si="50"/>
        <v/>
      </c>
      <c r="BF110" s="560" t="str">
        <f t="shared" si="42"/>
        <v/>
      </c>
      <c r="BG110" s="597"/>
      <c r="BH110" s="593" t="str">
        <f t="shared" si="51"/>
        <v/>
      </c>
      <c r="BI110" s="616" t="str">
        <f>IF(BH110="Ⅱロ有り",ROUNDDOWN(L110*VLOOKUP(K110,【参考】数式用!$A$4:$J$42,10,FALSE)*AA110,0),"")</f>
        <v/>
      </c>
      <c r="BJ110" s="616" t="str">
        <f>IF(BH110="Ⅱロなし",ROUNDDOWN(L110*VLOOKUP(K110,【参考】数式用!$A$4:$J$42,8,FALSE)*AA110,0),"")</f>
        <v/>
      </c>
    </row>
    <row r="111" spans="1:62" ht="109.9" customHeight="1" thickBot="1">
      <c r="A111" s="303">
        <v>98</v>
      </c>
      <c r="B111" s="956" t="str">
        <f>IF(基本情報入力シート!B133="","",基本情報入力シート!B133)</f>
        <v/>
      </c>
      <c r="C111" s="957"/>
      <c r="D111" s="957"/>
      <c r="E111" s="957"/>
      <c r="F111" s="958"/>
      <c r="G111" s="304" t="str">
        <f>IF(基本情報入力シート!L133="", "", 基本情報入力シート!L133)</f>
        <v/>
      </c>
      <c r="H111" s="304" t="str">
        <f>IF(基本情報入力シート!Q133="", "", 基本情報入力シート!Q133)</f>
        <v/>
      </c>
      <c r="I111" s="304" t="str">
        <f>IF(基本情報入力シート!V133="", "", 基本情報入力シート!V133)</f>
        <v/>
      </c>
      <c r="J111" s="304" t="str">
        <f>IF(基本情報入力シート!W133="", "", 基本情報入力シート!W133)</f>
        <v/>
      </c>
      <c r="K111" s="304" t="str">
        <f>IF(基本情報入力シート!Z133="", "", 基本情報入力シート!Z133)</f>
        <v/>
      </c>
      <c r="L111" s="558" t="str">
        <f>IF(基本情報入力シート!AF133=0, "",基本情報入力シート!AF133)</f>
        <v/>
      </c>
      <c r="M111" s="588"/>
      <c r="N111" s="522" t="str">
        <f>IFERROR(VLOOKUP(K111,【参考】数式用!$A$2:$F$57,MATCH(M111,【参考】数式用!$C$3:$F$3,0)+2,0),"")</f>
        <v/>
      </c>
      <c r="O111" s="511"/>
      <c r="P111" s="555" t="str">
        <f>IFERROR(VLOOKUP(K111,【参考】数式用!$A$2:$F$57,MATCH(O111,【参考】数式用!$C$3:$F$3,0)+2,0),"")</f>
        <v/>
      </c>
      <c r="Q111" s="310" t="s">
        <v>118</v>
      </c>
      <c r="R111" s="308"/>
      <c r="S111" s="309" t="s">
        <v>183</v>
      </c>
      <c r="T111" s="308"/>
      <c r="U111" s="309" t="s">
        <v>184</v>
      </c>
      <c r="V111" s="308"/>
      <c r="W111" s="309" t="s">
        <v>183</v>
      </c>
      <c r="X111" s="308"/>
      <c r="Y111" s="309" t="s">
        <v>185</v>
      </c>
      <c r="Z111" s="309" t="s">
        <v>186</v>
      </c>
      <c r="AA111" s="309" t="str">
        <f t="shared" si="53"/>
        <v/>
      </c>
      <c r="AB111" s="305" t="s">
        <v>187</v>
      </c>
      <c r="AC111" s="306" t="str">
        <f t="shared" si="43"/>
        <v/>
      </c>
      <c r="AD111" s="515" t="str">
        <f t="shared" si="44"/>
        <v/>
      </c>
      <c r="AE111" s="307" t="str">
        <f>IFERROR(ROUNDDOWN(ROUNDDOWN(ROUND(L111*VLOOKUP(K111,【参考】数式用!$A$4:$F$57,MATCH("処遇改善加算Ⅳ",【参考】数式用!$C$3:$F$3,0)+2,0),0),0)*AA111*0.5,0), "")</f>
        <v/>
      </c>
      <c r="AF111" s="318"/>
      <c r="AG111" s="319"/>
      <c r="AH111" s="319"/>
      <c r="AI111" s="318"/>
      <c r="AJ111" s="320"/>
      <c r="AK111" s="326"/>
      <c r="AL111" s="324" t="str">
        <f t="shared" si="33"/>
        <v/>
      </c>
      <c r="AM111" s="325" t="str">
        <f t="shared" si="52"/>
        <v/>
      </c>
      <c r="AN111" s="255"/>
      <c r="AO111" s="557" t="str">
        <f>IFERROR(VLOOKUP(K111,【参考】数式用!$A$2:$N$57,14,FALSE),"")</f>
        <v/>
      </c>
      <c r="AP111" s="557" t="str">
        <f t="shared" si="54"/>
        <v/>
      </c>
      <c r="AQ111" s="561" t="str">
        <f t="shared" si="35"/>
        <v/>
      </c>
      <c r="AR111" s="540" t="str">
        <f t="shared" si="36"/>
        <v>入力済</v>
      </c>
      <c r="AS111" s="578" t="str">
        <f t="shared" si="45"/>
        <v/>
      </c>
      <c r="AT111" s="540" t="str">
        <f t="shared" si="37"/>
        <v>入力済</v>
      </c>
      <c r="AU111" s="540" t="str">
        <f t="shared" si="46"/>
        <v/>
      </c>
      <c r="AV111" s="540" t="str">
        <f t="shared" si="55"/>
        <v/>
      </c>
      <c r="AW111" s="557" t="str">
        <f t="shared" si="56"/>
        <v/>
      </c>
      <c r="AX111" s="578" t="str">
        <f t="shared" si="47"/>
        <v/>
      </c>
      <c r="AY111" s="540" t="str">
        <f>IFERROR(VLOOKUP(K111,【参考】数式用!$AR$5:$AS$39,2, FALSE), "")</f>
        <v/>
      </c>
      <c r="AZ111" s="557" t="str">
        <f t="shared" si="48"/>
        <v/>
      </c>
      <c r="BA111" s="560" t="str">
        <f t="shared" si="40"/>
        <v>入力済</v>
      </c>
      <c r="BB111" s="540" t="str">
        <f>IFERROR(VLOOKUP(K111,【参考】数式用!$AX$3:$AY$59, 2, FALSE), "")</f>
        <v/>
      </c>
      <c r="BC111" s="578" t="str">
        <f t="shared" si="49"/>
        <v/>
      </c>
      <c r="BD111" s="560" t="str">
        <f t="shared" si="41"/>
        <v>入力済</v>
      </c>
      <c r="BE111" s="577" t="str">
        <f t="shared" si="50"/>
        <v/>
      </c>
      <c r="BF111" s="560" t="str">
        <f t="shared" si="42"/>
        <v/>
      </c>
      <c r="BG111" s="597"/>
      <c r="BH111" s="593" t="str">
        <f t="shared" si="51"/>
        <v/>
      </c>
      <c r="BI111" s="616" t="str">
        <f>IF(BH111="Ⅱロ有り",ROUNDDOWN(L111*VLOOKUP(K111,【参考】数式用!$A$4:$J$42,10,FALSE)*AA111,0),"")</f>
        <v/>
      </c>
      <c r="BJ111" s="616" t="str">
        <f>IF(BH111="Ⅱロなし",ROUNDDOWN(L111*VLOOKUP(K111,【参考】数式用!$A$4:$J$42,8,FALSE)*AA111,0),"")</f>
        <v/>
      </c>
    </row>
    <row r="112" spans="1:62" ht="109.9" customHeight="1" thickBot="1">
      <c r="A112" s="333">
        <v>99</v>
      </c>
      <c r="B112" s="959" t="str">
        <f>IF(基本情報入力シート!B134="","",基本情報入力シート!B134)</f>
        <v/>
      </c>
      <c r="C112" s="960"/>
      <c r="D112" s="960"/>
      <c r="E112" s="960"/>
      <c r="F112" s="961"/>
      <c r="G112" s="334" t="str">
        <f>IF(基本情報入力シート!L134="", "", 基本情報入力シート!L134)</f>
        <v/>
      </c>
      <c r="H112" s="334" t="str">
        <f>IF(基本情報入力シート!Q134="", "", 基本情報入力シート!Q134)</f>
        <v/>
      </c>
      <c r="I112" s="334" t="str">
        <f>IF(基本情報入力シート!V134="", "", 基本情報入力シート!V134)</f>
        <v/>
      </c>
      <c r="J112" s="334" t="str">
        <f>IF(基本情報入力シート!W134="", "", 基本情報入力シート!W134)</f>
        <v/>
      </c>
      <c r="K112" s="334" t="str">
        <f>IF(基本情報入力シート!Z134="", "", 基本情報入力シート!Z134)</f>
        <v/>
      </c>
      <c r="L112" s="335" t="str">
        <f>IF(基本情報入力シート!AF134=0, "",基本情報入力シート!AF134)</f>
        <v/>
      </c>
      <c r="M112" s="589"/>
      <c r="N112" s="522" t="str">
        <f>IFERROR(VLOOKUP(K112,【参考】数式用!$A$2:$F$57,MATCH(M112,【参考】数式用!$C$3:$F$3,0)+2,0),"")</f>
        <v/>
      </c>
      <c r="O112" s="512"/>
      <c r="P112" s="337" t="str">
        <f>IFERROR(VLOOKUP(K112,【参考】数式用!$A$2:$F$57,MATCH(O112,【参考】数式用!$C$3:$F$3,0)+2,0),"")</f>
        <v/>
      </c>
      <c r="Q112" s="310" t="s">
        <v>118</v>
      </c>
      <c r="R112" s="308"/>
      <c r="S112" s="309" t="s">
        <v>183</v>
      </c>
      <c r="T112" s="308"/>
      <c r="U112" s="309" t="s">
        <v>184</v>
      </c>
      <c r="V112" s="308"/>
      <c r="W112" s="309" t="s">
        <v>183</v>
      </c>
      <c r="X112" s="308"/>
      <c r="Y112" s="309" t="s">
        <v>185</v>
      </c>
      <c r="Z112" s="309" t="s">
        <v>186</v>
      </c>
      <c r="AA112" s="309" t="str">
        <f t="shared" si="53"/>
        <v/>
      </c>
      <c r="AB112" s="305" t="s">
        <v>187</v>
      </c>
      <c r="AC112" s="306" t="str">
        <f t="shared" si="43"/>
        <v/>
      </c>
      <c r="AD112" s="515" t="str">
        <f t="shared" si="44"/>
        <v/>
      </c>
      <c r="AE112" s="307" t="str">
        <f>IFERROR(ROUNDDOWN(ROUNDDOWN(ROUND(L112*VLOOKUP(K112,【参考】数式用!$A$4:$F$57,MATCH("処遇改善加算Ⅳ",【参考】数式用!$C$3:$F$3,0)+2,0),0),0)*AA112*0.5,0), "")</f>
        <v/>
      </c>
      <c r="AF112" s="344"/>
      <c r="AG112" s="345"/>
      <c r="AH112" s="345"/>
      <c r="AI112" s="318"/>
      <c r="AJ112" s="320"/>
      <c r="AK112" s="346"/>
      <c r="AL112" s="324" t="str">
        <f t="shared" si="33"/>
        <v/>
      </c>
      <c r="AM112" s="325" t="str">
        <f t="shared" si="52"/>
        <v/>
      </c>
      <c r="AN112" s="255"/>
      <c r="AO112" s="557" t="str">
        <f>IFERROR(VLOOKUP(K112,【参考】数式用!$A$2:$N$57,14,FALSE),"")</f>
        <v/>
      </c>
      <c r="AP112" s="557" t="str">
        <f t="shared" si="54"/>
        <v/>
      </c>
      <c r="AQ112" s="561" t="str">
        <f t="shared" si="35"/>
        <v/>
      </c>
      <c r="AR112" s="540" t="str">
        <f t="shared" si="36"/>
        <v>入力済</v>
      </c>
      <c r="AS112" s="578" t="str">
        <f t="shared" si="45"/>
        <v/>
      </c>
      <c r="AT112" s="540" t="str">
        <f t="shared" si="37"/>
        <v>入力済</v>
      </c>
      <c r="AU112" s="540" t="str">
        <f t="shared" si="46"/>
        <v/>
      </c>
      <c r="AV112" s="540" t="str">
        <f t="shared" si="55"/>
        <v/>
      </c>
      <c r="AW112" s="557" t="str">
        <f t="shared" si="56"/>
        <v/>
      </c>
      <c r="AX112" s="578" t="str">
        <f t="shared" si="47"/>
        <v/>
      </c>
      <c r="AY112" s="540" t="str">
        <f>IFERROR(VLOOKUP(K112,【参考】数式用!$AR$5:$AS$39,2, FALSE), "")</f>
        <v/>
      </c>
      <c r="AZ112" s="557" t="str">
        <f t="shared" si="48"/>
        <v/>
      </c>
      <c r="BA112" s="560" t="str">
        <f t="shared" si="40"/>
        <v>入力済</v>
      </c>
      <c r="BB112" s="540" t="str">
        <f>IFERROR(VLOOKUP(K112,【参考】数式用!$AX$3:$AY$59, 2, FALSE), "")</f>
        <v/>
      </c>
      <c r="BC112" s="578" t="str">
        <f t="shared" si="49"/>
        <v/>
      </c>
      <c r="BD112" s="560" t="str">
        <f t="shared" si="41"/>
        <v>入力済</v>
      </c>
      <c r="BE112" s="577" t="str">
        <f t="shared" si="50"/>
        <v/>
      </c>
      <c r="BF112" s="560" t="str">
        <f t="shared" si="42"/>
        <v/>
      </c>
      <c r="BG112" s="597"/>
      <c r="BH112" s="593" t="str">
        <f t="shared" si="51"/>
        <v/>
      </c>
      <c r="BI112" s="616" t="str">
        <f>IF(BH112="Ⅱロ有り",ROUNDDOWN(L112*VLOOKUP(K112,【参考】数式用!$A$4:$J$42,10,FALSE)*AA112,0),"")</f>
        <v/>
      </c>
      <c r="BJ112" s="616" t="str">
        <f>IF(BH112="Ⅱロなし",ROUNDDOWN(L112*VLOOKUP(K112,【参考】数式用!$A$4:$J$42,8,FALSE)*AA112,0),"")</f>
        <v/>
      </c>
    </row>
    <row r="113" spans="1:62" ht="109.9" customHeight="1" thickBot="1">
      <c r="A113" s="327">
        <v>100</v>
      </c>
      <c r="B113" s="953" t="str">
        <f>IF(基本情報入力シート!B135="","",基本情報入力シート!B135)</f>
        <v/>
      </c>
      <c r="C113" s="954"/>
      <c r="D113" s="954"/>
      <c r="E113" s="954"/>
      <c r="F113" s="955"/>
      <c r="G113" s="328" t="str">
        <f>IF(基本情報入力シート!L135="", "", 基本情報入力シート!L135)</f>
        <v/>
      </c>
      <c r="H113" s="328" t="str">
        <f>IF(基本情報入力シート!Q135="", "", 基本情報入力シート!Q135)</f>
        <v/>
      </c>
      <c r="I113" s="328" t="str">
        <f>IF(基本情報入力シート!V135="", "", 基本情報入力シート!V135)</f>
        <v/>
      </c>
      <c r="J113" s="328" t="str">
        <f>IF(基本情報入力シート!W135="", "", 基本情報入力シート!W135)</f>
        <v/>
      </c>
      <c r="K113" s="328" t="str">
        <f>IF(基本情報入力シート!Z135="", "", 基本情報入力シート!Z135)</f>
        <v/>
      </c>
      <c r="L113" s="559" t="str">
        <f>IF(基本情報入力シート!AF135=0, "",基本情報入力シート!AF135)</f>
        <v/>
      </c>
      <c r="M113" s="590"/>
      <c r="N113" s="522" t="str">
        <f>IFERROR(VLOOKUP(K113,【参考】数式用!$A$2:$F$57,MATCH(M113,【参考】数式用!$C$3:$F$3,0)+2,0),"")</f>
        <v/>
      </c>
      <c r="O113" s="513"/>
      <c r="P113" s="556" t="str">
        <f>IFERROR(VLOOKUP(K113,【参考】数式用!$A$2:$F$57,MATCH(O113,【参考】数式用!$C$3:$F$3,0)+2,0),"")</f>
        <v/>
      </c>
      <c r="Q113" s="338" t="s">
        <v>118</v>
      </c>
      <c r="R113" s="339"/>
      <c r="S113" s="340" t="s">
        <v>183</v>
      </c>
      <c r="T113" s="339"/>
      <c r="U113" s="340" t="s">
        <v>184</v>
      </c>
      <c r="V113" s="339"/>
      <c r="W113" s="340" t="s">
        <v>183</v>
      </c>
      <c r="X113" s="339"/>
      <c r="Y113" s="340" t="s">
        <v>185</v>
      </c>
      <c r="Z113" s="340" t="s">
        <v>186</v>
      </c>
      <c r="AA113" s="340" t="str">
        <f t="shared" si="53"/>
        <v/>
      </c>
      <c r="AB113" s="341" t="s">
        <v>187</v>
      </c>
      <c r="AC113" s="516" t="str">
        <f t="shared" si="43"/>
        <v/>
      </c>
      <c r="AD113" s="518" t="str">
        <f t="shared" si="44"/>
        <v/>
      </c>
      <c r="AE113" s="517" t="str">
        <f>IFERROR(ROUNDDOWN(ROUNDDOWN(ROUND(L113*VLOOKUP(K113,【参考】数式用!$A$4:$F$57,MATCH("処遇改善加算Ⅳ",【参考】数式用!$C$3:$F$3,0)+2,0),0),0)*AA113*0.5,0), "")</f>
        <v/>
      </c>
      <c r="AF113" s="329"/>
      <c r="AG113" s="330"/>
      <c r="AH113" s="330"/>
      <c r="AI113" s="318"/>
      <c r="AJ113" s="320"/>
      <c r="AK113" s="331"/>
      <c r="AL113" s="332" t="str">
        <f t="shared" si="33"/>
        <v/>
      </c>
      <c r="AM113" s="325" t="str">
        <f t="shared" si="52"/>
        <v/>
      </c>
      <c r="AN113" s="255"/>
      <c r="AO113" s="557" t="str">
        <f>IFERROR(VLOOKUP(K113,【参考】数式用!$A$2:$N$57,14,FALSE),"")</f>
        <v/>
      </c>
      <c r="AP113" s="557" t="str">
        <f t="shared" si="54"/>
        <v/>
      </c>
      <c r="AQ113" s="561" t="str">
        <f t="shared" si="35"/>
        <v/>
      </c>
      <c r="AR113" s="540" t="str">
        <f t="shared" si="36"/>
        <v>入力済</v>
      </c>
      <c r="AS113" s="578" t="str">
        <f t="shared" si="45"/>
        <v/>
      </c>
      <c r="AT113" s="540" t="str">
        <f t="shared" si="37"/>
        <v>入力済</v>
      </c>
      <c r="AU113" s="540" t="str">
        <f t="shared" si="46"/>
        <v/>
      </c>
      <c r="AV113" s="540" t="str">
        <f t="shared" si="55"/>
        <v/>
      </c>
      <c r="AW113" s="557" t="str">
        <f t="shared" si="56"/>
        <v/>
      </c>
      <c r="AX113" s="578" t="str">
        <f t="shared" si="47"/>
        <v/>
      </c>
      <c r="AY113" s="540" t="str">
        <f>IFERROR(VLOOKUP(K113,【参考】数式用!$AR$5:$AS$39,2, FALSE), "")</f>
        <v/>
      </c>
      <c r="AZ113" s="557" t="str">
        <f t="shared" si="48"/>
        <v/>
      </c>
      <c r="BA113" s="560" t="str">
        <f t="shared" si="40"/>
        <v>入力済</v>
      </c>
      <c r="BB113" s="540" t="str">
        <f>IFERROR(VLOOKUP(K113,【参考】数式用!$AX$3:$AY$59, 2, FALSE), "")</f>
        <v/>
      </c>
      <c r="BC113" s="578" t="str">
        <f t="shared" si="49"/>
        <v/>
      </c>
      <c r="BD113" s="560" t="str">
        <f t="shared" si="41"/>
        <v>入力済</v>
      </c>
      <c r="BE113" s="577" t="str">
        <f t="shared" si="50"/>
        <v/>
      </c>
      <c r="BF113" s="560" t="str">
        <f t="shared" si="42"/>
        <v/>
      </c>
      <c r="BG113" s="597"/>
      <c r="BH113" s="593" t="str">
        <f t="shared" si="51"/>
        <v/>
      </c>
      <c r="BI113" s="616" t="str">
        <f>IF(BH113="Ⅱロ有り",ROUNDDOWN(L113*VLOOKUP(K113,【参考】数式用!$A$4:$J$42,10,FALSE)*AA113,0),"")</f>
        <v/>
      </c>
      <c r="BJ113" s="616" t="str">
        <f>IF(BH113="Ⅱロなし",ROUNDDOWN(L113*VLOOKUP(K113,【参考】数式用!$A$4:$J$42,8,FALSE)*AA113,0),"")</f>
        <v/>
      </c>
    </row>
  </sheetData>
  <sheetProtection algorithmName="SHA-512" hashValue="NB4fzQIDYibarQ9CcE82ZH6nGxG6STGXwStyg9n39UwbHGcRksP0COXZM08SGl370z+AmVrE24kSPStOYKAW+Q==" saltValue="qLbzg/f7EtU4kTZIcjha4w==" spinCount="100000" sheet="1" formatCells="0" formatColumns="0" formatRows="0" sort="0" autoFilter="0"/>
  <autoFilter ref="BF12:BF13" xr:uid="{12455542-A36C-492D-90AA-570031E4E39B}"/>
  <dataConsolidate/>
  <mergeCells count="137">
    <mergeCell ref="A3:C3"/>
    <mergeCell ref="D3:J3"/>
    <mergeCell ref="AG4:AK4"/>
    <mergeCell ref="A5:K5"/>
    <mergeCell ref="L5:N5"/>
    <mergeCell ref="AG5:AJ5"/>
    <mergeCell ref="BN6:BP6"/>
    <mergeCell ref="A7:K7"/>
    <mergeCell ref="L7:N7"/>
    <mergeCell ref="A8:L8"/>
    <mergeCell ref="AR9:AY9"/>
    <mergeCell ref="BA9:BF9"/>
    <mergeCell ref="BH9:BI9"/>
    <mergeCell ref="BJ9:BL9"/>
    <mergeCell ref="B6:K6"/>
    <mergeCell ref="L6:N6"/>
    <mergeCell ref="AG6:AJ6"/>
    <mergeCell ref="AY6:BF6"/>
    <mergeCell ref="BG6:BJ6"/>
    <mergeCell ref="BL6:BM6"/>
    <mergeCell ref="AE10:AF10"/>
    <mergeCell ref="A11:A12"/>
    <mergeCell ref="B11:F12"/>
    <mergeCell ref="G11:G12"/>
    <mergeCell ref="H11:I11"/>
    <mergeCell ref="J11:J12"/>
    <mergeCell ref="K11:K12"/>
    <mergeCell ref="L11:L12"/>
    <mergeCell ref="M11:N11"/>
    <mergeCell ref="AL12:AM12"/>
    <mergeCell ref="B13:F13"/>
    <mergeCell ref="B14:F14"/>
    <mergeCell ref="B15:F15"/>
    <mergeCell ref="B16:F16"/>
    <mergeCell ref="O11:O12"/>
    <mergeCell ref="P11:P12"/>
    <mergeCell ref="Q11:AB12"/>
    <mergeCell ref="AC11:AC12"/>
    <mergeCell ref="AD11:AD12"/>
    <mergeCell ref="AE11:AF11"/>
    <mergeCell ref="B23:F23"/>
    <mergeCell ref="B24:F24"/>
    <mergeCell ref="B25:F25"/>
    <mergeCell ref="B26:F26"/>
    <mergeCell ref="B27:F27"/>
    <mergeCell ref="B28:F28"/>
    <mergeCell ref="B17:F17"/>
    <mergeCell ref="B18:F18"/>
    <mergeCell ref="B19:F19"/>
    <mergeCell ref="B20:F20"/>
    <mergeCell ref="B21:F21"/>
    <mergeCell ref="B22:F22"/>
    <mergeCell ref="B35:F35"/>
    <mergeCell ref="B36:F36"/>
    <mergeCell ref="B37:F37"/>
    <mergeCell ref="B38:F38"/>
    <mergeCell ref="B39:F39"/>
    <mergeCell ref="B40:F40"/>
    <mergeCell ref="B29:F29"/>
    <mergeCell ref="B30:F30"/>
    <mergeCell ref="B31:F31"/>
    <mergeCell ref="B32:F32"/>
    <mergeCell ref="B33:F33"/>
    <mergeCell ref="B34:F34"/>
    <mergeCell ref="B47:F47"/>
    <mergeCell ref="B48:F48"/>
    <mergeCell ref="B49:F49"/>
    <mergeCell ref="B50:F50"/>
    <mergeCell ref="B51:F51"/>
    <mergeCell ref="B52:F52"/>
    <mergeCell ref="B41:F41"/>
    <mergeCell ref="B42:F42"/>
    <mergeCell ref="B43:F43"/>
    <mergeCell ref="B44:F44"/>
    <mergeCell ref="B45:F45"/>
    <mergeCell ref="B46:F46"/>
    <mergeCell ref="B59:F59"/>
    <mergeCell ref="B60:F60"/>
    <mergeCell ref="B61:F61"/>
    <mergeCell ref="B62:F62"/>
    <mergeCell ref="B63:F63"/>
    <mergeCell ref="B64:F64"/>
    <mergeCell ref="B53:F53"/>
    <mergeCell ref="B54:F54"/>
    <mergeCell ref="B55:F55"/>
    <mergeCell ref="B56:F56"/>
    <mergeCell ref="B57:F57"/>
    <mergeCell ref="B58:F58"/>
    <mergeCell ref="B71:F71"/>
    <mergeCell ref="B72:F72"/>
    <mergeCell ref="B73:F73"/>
    <mergeCell ref="B74:F74"/>
    <mergeCell ref="B75:F75"/>
    <mergeCell ref="B76:F76"/>
    <mergeCell ref="B65:F65"/>
    <mergeCell ref="B66:F66"/>
    <mergeCell ref="B67:F67"/>
    <mergeCell ref="B68:F68"/>
    <mergeCell ref="B69:F69"/>
    <mergeCell ref="B70:F70"/>
    <mergeCell ref="B83:F83"/>
    <mergeCell ref="B84:F84"/>
    <mergeCell ref="B85:F85"/>
    <mergeCell ref="B86:F86"/>
    <mergeCell ref="B87:F87"/>
    <mergeCell ref="B88:F88"/>
    <mergeCell ref="B77:F77"/>
    <mergeCell ref="B78:F78"/>
    <mergeCell ref="B79:F79"/>
    <mergeCell ref="B80:F80"/>
    <mergeCell ref="B81:F81"/>
    <mergeCell ref="B82:F82"/>
    <mergeCell ref="B95:F95"/>
    <mergeCell ref="B96:F96"/>
    <mergeCell ref="B97:F97"/>
    <mergeCell ref="B98:F98"/>
    <mergeCell ref="B99:F99"/>
    <mergeCell ref="B100:F100"/>
    <mergeCell ref="B89:F89"/>
    <mergeCell ref="B90:F90"/>
    <mergeCell ref="B91:F91"/>
    <mergeCell ref="B92:F92"/>
    <mergeCell ref="B93:F93"/>
    <mergeCell ref="B94:F94"/>
    <mergeCell ref="B113:F113"/>
    <mergeCell ref="B107:F107"/>
    <mergeCell ref="B108:F108"/>
    <mergeCell ref="B109:F109"/>
    <mergeCell ref="B110:F110"/>
    <mergeCell ref="B111:F111"/>
    <mergeCell ref="B112:F112"/>
    <mergeCell ref="B101:F101"/>
    <mergeCell ref="B102:F102"/>
    <mergeCell ref="B103:F103"/>
    <mergeCell ref="B104:F104"/>
    <mergeCell ref="B105:F105"/>
    <mergeCell ref="B106:F106"/>
  </mergeCells>
  <phoneticPr fontId="13"/>
  <conditionalFormatting sqref="A13:AM113">
    <cfRule type="expression" dxfId="31" priority="1">
      <formula>OR(ISNUMBER(SEARCH("計画相談支援",$K13)),ISNUMBER(SEARCH("地域相談支援（地域移行支援）",$K13)),ISNUMBER(SEARCH("地域相談支援（地域定着支援）",$K13)),ISNUMBER(SEARCH("障害児相談支援",$K13)))</formula>
    </cfRule>
  </conditionalFormatting>
  <conditionalFormatting sqref="M13:M113">
    <cfRule type="expression" dxfId="30" priority="2">
      <formula>AP13=""</formula>
    </cfRule>
  </conditionalFormatting>
  <conditionalFormatting sqref="O13:O113">
    <cfRule type="expression" dxfId="29" priority="14">
      <formula>AP13=""</formula>
    </cfRule>
  </conditionalFormatting>
  <conditionalFormatting sqref="P13:P113">
    <cfRule type="expression" dxfId="28" priority="16">
      <formula>AND(P13&lt;#REF!, #REF!&lt;&gt;"")</formula>
    </cfRule>
  </conditionalFormatting>
  <conditionalFormatting sqref="R13:R115">
    <cfRule type="expression" dxfId="27" priority="6">
      <formula>O13&lt;&gt;""</formula>
    </cfRule>
  </conditionalFormatting>
  <conditionalFormatting sqref="T13:T113">
    <cfRule type="expression" dxfId="26" priority="13">
      <formula>O13&lt;&gt;""</formula>
    </cfRule>
  </conditionalFormatting>
  <conditionalFormatting sqref="V13:V113">
    <cfRule type="expression" dxfId="25" priority="8">
      <formula>O13&lt;&gt;""</formula>
    </cfRule>
  </conditionalFormatting>
  <conditionalFormatting sqref="X13:X113">
    <cfRule type="expression" dxfId="24" priority="12">
      <formula>O13&lt;&gt;""</formula>
    </cfRule>
  </conditionalFormatting>
  <conditionalFormatting sqref="AF13:AF113">
    <cfRule type="expression" dxfId="23" priority="11">
      <formula>AND($O13&lt;&gt;"", $AE13&lt;&gt;0, $AE13&lt;&gt;"")</formula>
    </cfRule>
  </conditionalFormatting>
  <conditionalFormatting sqref="AG13:AG113">
    <cfRule type="expression" dxfId="22" priority="10">
      <formula>AO13="加算対象"</formula>
    </cfRule>
  </conditionalFormatting>
  <conditionalFormatting sqref="AH13:AH113">
    <cfRule type="expression" dxfId="21" priority="9">
      <formula>AS13="AH列に色付け"</formula>
    </cfRule>
  </conditionalFormatting>
  <conditionalFormatting sqref="AH18">
    <cfRule type="expression" dxfId="20" priority="5">
      <formula>AP18="加算対象"</formula>
    </cfRule>
  </conditionalFormatting>
  <conditionalFormatting sqref="AI13:AI113">
    <cfRule type="expression" dxfId="19" priority="15">
      <formula>AV13&lt;&gt;""</formula>
    </cfRule>
  </conditionalFormatting>
  <conditionalFormatting sqref="AJ13:AJ113">
    <cfRule type="expression" dxfId="18" priority="3">
      <formula>AZ13&lt;&gt;""</formula>
    </cfRule>
  </conditionalFormatting>
  <conditionalFormatting sqref="AK10">
    <cfRule type="expression" dxfId="17" priority="4">
      <formula>$BG$13=0</formula>
    </cfRule>
  </conditionalFormatting>
  <conditionalFormatting sqref="AK13:AK113">
    <cfRule type="expression" dxfId="16" priority="7">
      <formula>BC13&lt;&gt;""</formula>
    </cfRule>
  </conditionalFormatting>
  <dataValidations count="6">
    <dataValidation type="list" allowBlank="1" showInputMessage="1" showErrorMessage="1" sqref="AJ13:AJ113" xr:uid="{C50937BB-9C7D-42D5-8D9C-B7FDB9BED438}">
      <formula1>INDIRECT(AY13)</formula1>
    </dataValidation>
    <dataValidation type="list" allowBlank="1" showInputMessage="1" showErrorMessage="1" sqref="AK13:AK113" xr:uid="{EFA95D70-97D2-4519-A202-9D021AF3FF1B}">
      <formula1>INDIRECT(BB13)</formula1>
    </dataValidation>
    <dataValidation type="list" imeMode="halfAlpha" allowBlank="1" showDropDown="1" showInputMessage="1" showErrorMessage="1" error="このセルには１～３または６～12_x000a_の数字しか入力できません。" sqref="X14:X113" xr:uid="{1D190B2B-BA36-4335-8E41-7DCB299EE19A}">
      <formula1>"4,5"</formula1>
    </dataValidation>
    <dataValidation type="list" imeMode="halfAlpha" allowBlank="1" showDropDown="1" showInputMessage="1" showErrorMessage="1" error="このセルには８しか入力できません。" sqref="V13:V113 R13:R115" xr:uid="{D9ECC9A9-CEF2-4983-AE87-F8044DC969E3}">
      <formula1>"8"</formula1>
    </dataValidation>
    <dataValidation type="list" imeMode="halfAlpha" allowBlank="1" showDropDown="1" showInputMessage="1" showErrorMessage="1" error="このセルには４または５の数字しか入力できません。" sqref="X13 T13:T113" xr:uid="{245A3386-F912-4B2D-87B8-CD5825E41CD3}">
      <formula1>"4,5"</formula1>
    </dataValidation>
    <dataValidation imeMode="halfAlpha" allowBlank="1" showInputMessage="1" showErrorMessage="1" sqref="G13:K113 B13:B113" xr:uid="{BB31DD2B-7EDD-4551-B586-DCCED8A49CA3}"/>
  </dataValidations>
  <pageMargins left="0.70866141732283472" right="0.70866141732283472" top="0.74803149606299213" bottom="0.74803149606299213" header="0.31496062992125984" footer="0.31496062992125984"/>
  <pageSetup paperSize="9" scale="31" fitToHeight="0" orientation="landscape" r:id="rId1"/>
  <drawing r:id="rId2"/>
  <legacyDrawing r:id="rId3"/>
  <extLst>
    <ext xmlns:x14="http://schemas.microsoft.com/office/spreadsheetml/2009/9/main" uri="{CCE6A557-97BC-4b89-ADB6-D9C93CAAB3DF}">
      <x14:dataValidations xmlns:xm="http://schemas.microsoft.com/office/excel/2006/main" count="5">
        <x14:dataValidation type="list" allowBlank="1" showInputMessage="1" showErrorMessage="1" xr:uid="{2699F0C9-CD9F-44D3-8019-9E656CFA488B}">
          <x14:formula1>
            <xm:f>【参考】数式用!$B$45:$F$45</xm:f>
          </x14:formula1>
          <xm:sqref>M13:M113</xm:sqref>
        </x14:dataValidation>
        <x14:dataValidation type="list" allowBlank="1" showInputMessage="1" showErrorMessage="1" xr:uid="{4CB06A21-2F93-4B29-A726-A266F4EE7443}">
          <x14:formula1>
            <xm:f>【参考】数式用!$BF$5:$BF$8</xm:f>
          </x14:formula1>
          <xm:sqref>AG13:AH113</xm:sqref>
        </x14:dataValidation>
        <x14:dataValidation type="list" allowBlank="1" showInputMessage="1" showErrorMessage="1" xr:uid="{0FD90381-0A08-4BCD-9D19-AC1224CFD1B6}">
          <x14:formula1>
            <xm:f>【参考】数式用!$BF$2:$BF$3</xm:f>
          </x14:formula1>
          <xm:sqref>AF13:AF113</xm:sqref>
        </x14:dataValidation>
        <x14:dataValidation type="list" allowBlank="1" showInputMessage="1" showErrorMessage="1" xr:uid="{317684AB-5EC3-4AFA-BE50-7F539EE6291D}">
          <x14:formula1>
            <xm:f>【参考】数式用!$C$3:$F$3</xm:f>
          </x14:formula1>
          <xm:sqref>O13:O113</xm:sqref>
        </x14:dataValidation>
        <x14:dataValidation type="list" operator="greaterThanOrEqual" allowBlank="1" showInputMessage="1" showErrorMessage="1" xr:uid="{6335F7C7-E717-41FC-9B14-15F774DDD211}">
          <x14:formula1>
            <xm:f>【参考】数式用!$BF$22:$BF$23</xm:f>
          </x14:formula1>
          <xm:sqref>AI13:AI113</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8211DD-A448-454B-9980-D31772D9DA7C}">
  <sheetPr>
    <pageSetUpPr fitToPage="1"/>
  </sheetPr>
  <dimension ref="A1:BV119"/>
  <sheetViews>
    <sheetView view="pageBreakPreview" topLeftCell="A13" zoomScale="60" zoomScaleNormal="85" zoomScalePageLayoutView="70" workbookViewId="0">
      <selection activeCell="AG19" sqref="AG19"/>
    </sheetView>
  </sheetViews>
  <sheetFormatPr defaultColWidth="2.375" defaultRowHeight="17.25"/>
  <cols>
    <col min="1" max="1" width="5.375" customWidth="1"/>
    <col min="2" max="6" width="2.375" style="262" customWidth="1"/>
    <col min="7" max="7" width="12.375" customWidth="1"/>
    <col min="8" max="8" width="9" customWidth="1"/>
    <col min="9" max="9" width="9.375" style="58" customWidth="1"/>
    <col min="10" max="10" width="19.375" customWidth="1"/>
    <col min="11" max="11" width="17.375" style="24" customWidth="1"/>
    <col min="12" max="12" width="25.125" customWidth="1"/>
    <col min="13" max="14" width="15.625" customWidth="1"/>
    <col min="15" max="15" width="25.125" style="257" customWidth="1"/>
    <col min="16" max="16" width="12" style="47" customWidth="1"/>
    <col min="17" max="17" width="6.375" style="258" customWidth="1"/>
    <col min="18" max="18" width="3" style="47" customWidth="1"/>
    <col min="19" max="19" width="3.75" style="24" customWidth="1"/>
    <col min="20" max="20" width="3.375" style="259" customWidth="1"/>
    <col min="21" max="21" width="10.25" style="24" customWidth="1"/>
    <col min="22" max="22" width="3.375" style="259" customWidth="1"/>
    <col min="23" max="23" width="3.375" style="24" customWidth="1"/>
    <col min="24" max="24" width="2.875" style="259" customWidth="1"/>
    <col min="25" max="25" width="2.875" style="24" customWidth="1"/>
    <col min="26" max="26" width="3.375" style="259" customWidth="1"/>
    <col min="27" max="27" width="5" style="24" customWidth="1"/>
    <col min="28" max="28" width="7.375" style="24" customWidth="1"/>
    <col min="29" max="30" width="16.875" style="24" customWidth="1"/>
    <col min="31" max="31" width="15" style="24" customWidth="1"/>
    <col min="32" max="32" width="18.125" style="47" customWidth="1"/>
    <col min="33" max="33" width="21.625" style="316" customWidth="1"/>
    <col min="34" max="34" width="21.625" style="261" customWidth="1"/>
    <col min="35" max="35" width="18.375" style="12" customWidth="1"/>
    <col min="36" max="36" width="20.875" style="314" customWidth="1"/>
    <col min="37" max="37" width="21.375" style="260" customWidth="1"/>
    <col min="38" max="40" width="22.375" style="261" customWidth="1"/>
    <col min="41" max="41" width="21.375" style="261" hidden="1" customWidth="1"/>
    <col min="42" max="42" width="20.25" style="17" hidden="1" customWidth="1"/>
    <col min="43" max="43" width="13" style="17" hidden="1" customWidth="1"/>
    <col min="44" max="44" width="34.125" style="17" hidden="1" customWidth="1"/>
    <col min="45" max="45" width="16.25" style="219" hidden="1" customWidth="1"/>
    <col min="46" max="46" width="20.25" style="17" hidden="1" customWidth="1"/>
    <col min="47" max="47" width="13" style="219" hidden="1" customWidth="1"/>
    <col min="48" max="48" width="14.25" style="219" hidden="1" customWidth="1"/>
    <col min="49" max="49" width="19.75" style="219" hidden="1" customWidth="1"/>
    <col min="50" max="50" width="24.375" style="219" hidden="1" customWidth="1"/>
    <col min="51" max="51" width="27.25" style="219" hidden="1" customWidth="1"/>
    <col min="52" max="52" width="16.25" style="219" hidden="1" customWidth="1"/>
    <col min="53" max="53" width="9.5" style="219" hidden="1" customWidth="1"/>
    <col min="54" max="54" width="31.375" style="219" hidden="1" customWidth="1"/>
    <col min="55" max="55" width="16.25" style="219" hidden="1" customWidth="1"/>
    <col min="56" max="56" width="9.5" style="219" hidden="1" customWidth="1"/>
    <col min="57" max="57" width="9" style="219" hidden="1" customWidth="1"/>
    <col min="58" max="58" width="9.5" style="219" hidden="1" customWidth="1"/>
    <col min="59" max="59" width="9" style="219" hidden="1" customWidth="1"/>
    <col min="60" max="60" width="9.5" style="219" hidden="1" customWidth="1"/>
    <col min="61" max="61" width="8.25" style="219" hidden="1" customWidth="1"/>
    <col min="62" max="62" width="3.5" style="219" hidden="1" customWidth="1"/>
    <col min="63" max="63" width="4.25" style="219" hidden="1" customWidth="1"/>
    <col min="64" max="64" width="13.25" style="219" hidden="1" customWidth="1"/>
    <col min="65" max="66" width="15.375" style="219" hidden="1" customWidth="1"/>
    <col min="67" max="67" width="12.75" style="571" hidden="1" customWidth="1"/>
    <col min="68" max="68" width="10.375" style="219" hidden="1" customWidth="1"/>
    <col min="69" max="69" width="16" style="219" hidden="1" customWidth="1"/>
    <col min="70" max="70" width="18.375" style="219" hidden="1" customWidth="1"/>
    <col min="71" max="71" width="14.125" style="219" hidden="1" customWidth="1"/>
    <col min="72" max="72" width="24.875" style="219" hidden="1" customWidth="1"/>
    <col min="73" max="73" width="24.5" style="598" hidden="1" customWidth="1"/>
    <col min="74" max="74" width="26.125" hidden="1" customWidth="1"/>
  </cols>
  <sheetData>
    <row r="1" spans="1:74" ht="29.25" customHeight="1" thickBot="1">
      <c r="A1" s="209" t="s">
        <v>190</v>
      </c>
      <c r="B1" s="210"/>
      <c r="C1" s="210"/>
      <c r="D1" s="210"/>
      <c r="E1" s="210"/>
      <c r="F1" s="210"/>
      <c r="G1" s="23"/>
      <c r="H1" s="23"/>
      <c r="I1" s="211"/>
      <c r="J1" s="23"/>
      <c r="K1" s="96"/>
      <c r="L1" s="23"/>
      <c r="M1" s="23"/>
      <c r="N1" s="23"/>
      <c r="O1" s="212"/>
      <c r="P1" s="212"/>
      <c r="Q1" s="213"/>
      <c r="R1" s="214"/>
      <c r="S1" s="57"/>
      <c r="T1" s="215"/>
      <c r="U1" s="215"/>
      <c r="V1" s="215"/>
      <c r="W1" s="215"/>
      <c r="X1" s="215"/>
      <c r="Y1" s="215"/>
      <c r="Z1" s="215"/>
      <c r="AA1" s="215"/>
      <c r="AB1" s="215"/>
      <c r="AC1" s="215"/>
      <c r="AD1" s="215"/>
      <c r="AE1" s="215"/>
      <c r="AF1" s="216"/>
      <c r="AG1" s="315"/>
      <c r="AH1" s="311"/>
      <c r="AI1" s="18"/>
      <c r="AJ1" s="533" t="s">
        <v>3</v>
      </c>
      <c r="AK1" s="533" t="str">
        <f>IF(基本情報入力シート!C11="", "",基本情報入力シート!C11)</f>
        <v>東京都</v>
      </c>
      <c r="AL1" s="217"/>
      <c r="AM1" s="217"/>
      <c r="AN1" s="217"/>
      <c r="AO1" s="217"/>
      <c r="AP1" s="218"/>
      <c r="AQ1" s="217"/>
      <c r="AR1" s="217"/>
      <c r="AT1" s="218"/>
      <c r="BK1" s="220"/>
      <c r="BL1"/>
      <c r="BM1"/>
      <c r="BN1"/>
      <c r="BO1" s="570"/>
      <c r="BP1"/>
      <c r="BQ1"/>
      <c r="BR1"/>
      <c r="BS1"/>
      <c r="BT1"/>
      <c r="BU1" s="570"/>
    </row>
    <row r="2" spans="1:74" ht="21" customHeight="1" thickBot="1">
      <c r="A2" s="221"/>
      <c r="B2" s="222"/>
      <c r="C2" s="222"/>
      <c r="D2" s="222"/>
      <c r="E2" s="222"/>
      <c r="F2" s="222"/>
      <c r="G2" s="223"/>
      <c r="H2" s="223"/>
      <c r="I2" s="224"/>
      <c r="J2" s="223"/>
      <c r="K2" s="225"/>
      <c r="L2" s="223"/>
      <c r="M2" s="223"/>
      <c r="N2" s="223"/>
      <c r="O2" s="212"/>
      <c r="P2" s="212"/>
      <c r="Q2" s="213"/>
      <c r="R2" s="214"/>
      <c r="S2" s="57"/>
      <c r="T2" s="57"/>
      <c r="U2" s="57"/>
      <c r="V2" s="57"/>
      <c r="W2" s="57"/>
      <c r="X2" s="57"/>
      <c r="Y2" s="57"/>
      <c r="Z2" s="57"/>
      <c r="AA2" s="57"/>
      <c r="AB2" s="57"/>
      <c r="AC2" s="57"/>
      <c r="AD2" s="57"/>
      <c r="AE2" s="57"/>
      <c r="AF2" s="216"/>
      <c r="AG2" s="238"/>
      <c r="AH2" s="52"/>
      <c r="AI2" s="18"/>
      <c r="AJ2" s="313"/>
      <c r="AK2" s="226"/>
      <c r="AL2" s="52"/>
      <c r="AM2" s="52"/>
      <c r="AN2" s="52"/>
      <c r="AO2" s="52"/>
      <c r="AP2" s="52"/>
      <c r="AT2" s="52"/>
      <c r="BK2" s="220"/>
      <c r="BL2"/>
      <c r="BM2"/>
      <c r="BN2"/>
      <c r="BO2" s="570"/>
      <c r="BP2"/>
      <c r="BQ2"/>
      <c r="BR2"/>
      <c r="BS2"/>
      <c r="BT2"/>
      <c r="BU2" s="570"/>
    </row>
    <row r="3" spans="1:74" ht="27" customHeight="1" thickBot="1">
      <c r="A3" s="1012" t="s">
        <v>46</v>
      </c>
      <c r="B3" s="1012"/>
      <c r="C3" s="1013"/>
      <c r="D3" s="1014" t="str">
        <f>IF(基本情報入力シート!L16="","",基本情報入力シート!L16)</f>
        <v>○○サービス事業所</v>
      </c>
      <c r="E3" s="1015"/>
      <c r="F3" s="1015"/>
      <c r="G3" s="1015"/>
      <c r="H3" s="1015"/>
      <c r="I3" s="1015"/>
      <c r="J3" s="1016"/>
      <c r="K3" s="96"/>
      <c r="L3" s="227"/>
      <c r="M3" s="227"/>
      <c r="N3" s="227"/>
      <c r="O3" s="538"/>
      <c r="P3" s="538"/>
      <c r="Q3" s="213"/>
      <c r="R3" s="214"/>
      <c r="S3" s="57"/>
      <c r="T3" s="215"/>
      <c r="U3" s="215"/>
      <c r="V3" s="215"/>
      <c r="W3" s="215"/>
      <c r="X3" s="215"/>
      <c r="Y3" s="215"/>
      <c r="Z3" s="215"/>
      <c r="AA3" s="215"/>
      <c r="AB3" s="215"/>
      <c r="AC3" s="215"/>
      <c r="AD3" s="215"/>
      <c r="AE3" s="215"/>
      <c r="AF3" s="216"/>
      <c r="AG3" s="238"/>
      <c r="AH3" s="52"/>
      <c r="AI3" s="18"/>
      <c r="AJ3" s="313"/>
      <c r="AK3" s="226"/>
      <c r="AL3" s="52"/>
      <c r="AM3" s="52"/>
      <c r="AN3" s="52"/>
      <c r="AO3" s="52"/>
      <c r="AP3" s="52"/>
      <c r="AS3" s="228"/>
      <c r="AT3" s="52"/>
      <c r="AU3" s="228"/>
      <c r="AV3" s="228"/>
      <c r="BP3" s="220"/>
      <c r="BQ3"/>
      <c r="BR3"/>
      <c r="BS3"/>
      <c r="BT3"/>
      <c r="BU3" s="570"/>
    </row>
    <row r="4" spans="1:74" ht="21" customHeight="1" thickBot="1">
      <c r="A4" s="554"/>
      <c r="B4" s="229"/>
      <c r="C4" s="229"/>
      <c r="D4" s="230"/>
      <c r="E4" s="230"/>
      <c r="F4" s="230"/>
      <c r="G4" s="55"/>
      <c r="H4" s="55"/>
      <c r="I4" s="55"/>
      <c r="J4" s="55"/>
      <c r="K4" s="55"/>
      <c r="L4" s="227"/>
      <c r="M4" s="227"/>
      <c r="N4" s="227"/>
      <c r="O4" s="538"/>
      <c r="P4" s="538"/>
      <c r="Q4" s="213"/>
      <c r="R4" s="214"/>
      <c r="S4" s="57"/>
      <c r="T4" s="215"/>
      <c r="U4" s="215"/>
      <c r="V4" s="215"/>
      <c r="W4" s="215"/>
      <c r="X4" s="215"/>
      <c r="Y4" s="215"/>
      <c r="Z4" s="215"/>
      <c r="AA4" s="215"/>
      <c r="AB4" s="215"/>
      <c r="AC4" s="215"/>
      <c r="AD4" s="215"/>
      <c r="AE4" s="215"/>
      <c r="AF4" s="216"/>
      <c r="AG4" s="1017" t="s">
        <v>2193</v>
      </c>
      <c r="AH4" s="1017"/>
      <c r="AI4" s="1017"/>
      <c r="AJ4" s="1017"/>
      <c r="AK4" s="1017"/>
      <c r="AL4" s="52"/>
      <c r="AM4" s="52"/>
      <c r="AN4" s="52"/>
      <c r="AO4" s="52"/>
      <c r="AP4" s="52"/>
      <c r="AT4" s="52"/>
      <c r="BP4" s="220"/>
      <c r="BQ4"/>
      <c r="BR4"/>
      <c r="BS4"/>
      <c r="BT4"/>
      <c r="BU4" s="570"/>
    </row>
    <row r="5" spans="1:74" ht="51" customHeight="1" thickBot="1">
      <c r="A5" s="1032" t="s">
        <v>191</v>
      </c>
      <c r="B5" s="1033"/>
      <c r="C5" s="1033"/>
      <c r="D5" s="1033"/>
      <c r="E5" s="1033"/>
      <c r="F5" s="1033"/>
      <c r="G5" s="1033"/>
      <c r="H5" s="1033"/>
      <c r="I5" s="1033"/>
      <c r="J5" s="1034"/>
      <c r="K5" s="385" t="s">
        <v>192</v>
      </c>
      <c r="L5" s="1035" t="s">
        <v>2211</v>
      </c>
      <c r="M5" s="1036"/>
      <c r="N5" s="1037" t="s">
        <v>2212</v>
      </c>
      <c r="O5" s="1038"/>
      <c r="P5" s="386"/>
      <c r="Q5" s="233"/>
      <c r="R5" s="213"/>
      <c r="S5" s="214"/>
      <c r="T5" s="57"/>
      <c r="U5" s="215"/>
      <c r="V5" s="215"/>
      <c r="W5" s="215"/>
      <c r="X5" s="215"/>
      <c r="Y5" s="215"/>
      <c r="Z5" s="215"/>
      <c r="AA5" s="215"/>
      <c r="AB5" s="215"/>
      <c r="AC5" s="215"/>
      <c r="AD5" s="215"/>
      <c r="AE5" s="215"/>
      <c r="AF5" s="216"/>
      <c r="AG5" s="1018" t="s">
        <v>2468</v>
      </c>
      <c r="AH5" s="1019"/>
      <c r="AI5" s="1019"/>
      <c r="AJ5" s="1020"/>
      <c r="AK5" s="322">
        <f>COUNTIF(AV:AV,"対象")</f>
        <v>3</v>
      </c>
      <c r="AL5" s="53"/>
      <c r="AM5" s="53"/>
      <c r="AN5" s="53"/>
      <c r="AO5" s="53"/>
      <c r="AP5" s="231"/>
      <c r="AQ5" s="234"/>
      <c r="AR5" s="234"/>
      <c r="AT5" s="231"/>
      <c r="BP5" s="220"/>
      <c r="BQ5"/>
      <c r="BR5"/>
      <c r="BS5"/>
      <c r="BT5"/>
      <c r="BU5" s="570"/>
    </row>
    <row r="6" spans="1:74" ht="35.25" customHeight="1" thickBot="1">
      <c r="A6" s="1049" t="s">
        <v>150</v>
      </c>
      <c r="B6" s="1050"/>
      <c r="C6" s="1050"/>
      <c r="D6" s="1050"/>
      <c r="E6" s="1050"/>
      <c r="F6" s="1050"/>
      <c r="G6" s="1050"/>
      <c r="H6" s="1050"/>
      <c r="I6" s="1050"/>
      <c r="J6" s="1051"/>
      <c r="K6" s="287">
        <f>IFERROR(SUM($AC:$AC),"")</f>
        <v>33063700</v>
      </c>
      <c r="L6" s="1005">
        <f>IFERROR(SUMIF($AO$13:$AO$113,"加算対象",$AC13:$AC113),"")</f>
        <v>32628100</v>
      </c>
      <c r="M6" s="1007"/>
      <c r="N6" s="1005">
        <f>IFERROR(SUMIF($AO$13:$AO$113,"加算対象外",$AC13:$AC113),"")</f>
        <v>435600</v>
      </c>
      <c r="O6" s="1007"/>
      <c r="P6" s="232" t="s">
        <v>54</v>
      </c>
      <c r="Q6" s="233"/>
      <c r="R6" s="213"/>
      <c r="S6" s="214"/>
      <c r="T6" s="57"/>
      <c r="U6" s="215"/>
      <c r="V6" s="215"/>
      <c r="W6" s="215"/>
      <c r="X6" s="215"/>
      <c r="Y6" s="215"/>
      <c r="Z6" s="215"/>
      <c r="AA6" s="215"/>
      <c r="AB6" s="215"/>
      <c r="AC6" s="215"/>
      <c r="AD6" s="215"/>
      <c r="AE6" s="215"/>
      <c r="AF6" s="216"/>
      <c r="AG6" s="1018" t="s">
        <v>2469</v>
      </c>
      <c r="AH6" s="1019"/>
      <c r="AI6" s="1019"/>
      <c r="AJ6" s="1020"/>
      <c r="AK6" s="566">
        <f>COUNTIF(AI13:AI113,"○")</f>
        <v>3</v>
      </c>
      <c r="AL6" s="231"/>
      <c r="AM6" s="231"/>
      <c r="AN6" s="231"/>
      <c r="AO6" s="231"/>
      <c r="AP6" s="231"/>
      <c r="AQ6" s="234"/>
      <c r="AR6" s="234"/>
      <c r="AT6" s="231"/>
      <c r="AW6" s="236"/>
      <c r="AX6" s="236"/>
      <c r="AY6" s="1011"/>
      <c r="AZ6" s="1011"/>
      <c r="BA6" s="1011"/>
      <c r="BB6" s="1011"/>
      <c r="BC6" s="1011"/>
      <c r="BD6" s="1011"/>
      <c r="BE6" s="1011"/>
      <c r="BF6" s="1011"/>
      <c r="BG6" s="1011"/>
      <c r="BH6" s="1011"/>
      <c r="BI6" s="1011"/>
      <c r="BJ6" s="1011"/>
      <c r="BK6" s="1011"/>
      <c r="BL6" s="1011"/>
      <c r="BM6" s="1011"/>
      <c r="BN6" s="582"/>
      <c r="BO6" s="572"/>
      <c r="BP6" s="1011"/>
      <c r="BQ6" s="1011"/>
      <c r="BR6" s="1011"/>
      <c r="BS6" s="1011"/>
      <c r="BT6" s="1011"/>
      <c r="BU6" s="1011"/>
    </row>
    <row r="7" spans="1:74" ht="35.25" customHeight="1">
      <c r="A7" s="387"/>
      <c r="B7" s="1043" t="s">
        <v>151</v>
      </c>
      <c r="C7" s="1044"/>
      <c r="D7" s="1044"/>
      <c r="E7" s="1044"/>
      <c r="F7" s="1044"/>
      <c r="G7" s="1044"/>
      <c r="H7" s="1044"/>
      <c r="I7" s="1044"/>
      <c r="J7" s="1045"/>
      <c r="K7" s="287">
        <f>IFERROR(SUM($AE:$AE),"")</f>
        <v>12947405</v>
      </c>
      <c r="L7" s="1005">
        <f>IFERROR(SUMIF($AO$13:$AO$113,"加算対象",$AE13:$AE113),"")</f>
        <v>12947405</v>
      </c>
      <c r="M7" s="1007"/>
      <c r="N7" s="1046"/>
      <c r="O7" s="1047"/>
      <c r="P7" s="232" t="s">
        <v>54</v>
      </c>
      <c r="Q7" s="233"/>
      <c r="R7" s="213"/>
      <c r="S7" s="214"/>
      <c r="T7" s="57"/>
      <c r="U7" s="215"/>
      <c r="V7" s="215"/>
      <c r="W7" s="215"/>
      <c r="X7" s="215"/>
      <c r="Y7" s="215"/>
      <c r="Z7" s="215"/>
      <c r="AA7" s="215"/>
      <c r="AB7" s="215"/>
      <c r="AC7" s="215"/>
      <c r="AD7" s="215"/>
      <c r="AE7" s="215"/>
      <c r="AF7" s="216"/>
      <c r="AG7" s="1048"/>
      <c r="AH7" s="1048"/>
      <c r="AI7" s="1048"/>
      <c r="AJ7" s="1048"/>
      <c r="AK7" s="567"/>
      <c r="AL7" s="231"/>
      <c r="AM7" s="231"/>
      <c r="AN7" s="231"/>
      <c r="AO7" s="231"/>
      <c r="AP7" s="231"/>
      <c r="AQ7" s="234"/>
      <c r="AR7" s="234"/>
      <c r="AT7" s="231"/>
      <c r="AW7" s="236"/>
      <c r="AX7" s="236"/>
      <c r="AY7" s="552"/>
      <c r="AZ7" s="552"/>
      <c r="BA7" s="552"/>
      <c r="BB7" s="552"/>
      <c r="BC7" s="552"/>
      <c r="BD7" s="552"/>
      <c r="BE7" s="552"/>
      <c r="BF7" s="552"/>
      <c r="BG7" s="552"/>
      <c r="BH7" s="552"/>
      <c r="BI7" s="552"/>
      <c r="BJ7" s="552"/>
      <c r="BK7" s="552"/>
      <c r="BL7" s="552"/>
      <c r="BM7" s="552"/>
      <c r="BN7" s="582"/>
      <c r="BO7" s="572"/>
      <c r="BP7" s="552"/>
      <c r="BQ7" s="552"/>
      <c r="BR7" s="552"/>
      <c r="BS7" s="594"/>
      <c r="BT7" s="552"/>
      <c r="BU7" s="572"/>
    </row>
    <row r="8" spans="1:74" ht="35.25" customHeight="1">
      <c r="A8" s="1039" t="s">
        <v>2460</v>
      </c>
      <c r="B8" s="1040"/>
      <c r="C8" s="1040"/>
      <c r="D8" s="1040"/>
      <c r="E8" s="1040"/>
      <c r="F8" s="1040"/>
      <c r="G8" s="1040"/>
      <c r="H8" s="1040"/>
      <c r="I8" s="1040"/>
      <c r="J8" s="1041"/>
      <c r="K8" s="1024">
        <f>SUM(AD13:AD113)</f>
        <v>9174220</v>
      </c>
      <c r="L8" s="1024"/>
      <c r="M8" s="1024"/>
      <c r="N8" s="1024"/>
      <c r="O8" s="1024"/>
      <c r="P8" s="232" t="s">
        <v>54</v>
      </c>
      <c r="Q8" s="233"/>
      <c r="R8" s="213"/>
      <c r="S8" s="214"/>
      <c r="T8" s="57"/>
      <c r="U8" s="215"/>
      <c r="V8" s="215"/>
      <c r="W8" s="215"/>
      <c r="X8" s="215"/>
      <c r="Y8" s="215"/>
      <c r="Z8" s="215"/>
      <c r="AA8" s="215"/>
      <c r="AB8" s="215"/>
      <c r="AC8" s="215"/>
      <c r="AD8" s="215"/>
      <c r="AE8" s="215"/>
      <c r="AF8" s="216"/>
      <c r="AG8" s="520"/>
      <c r="AH8" s="520"/>
      <c r="AI8" s="520"/>
      <c r="AJ8" s="520"/>
      <c r="AK8" s="521"/>
      <c r="AL8" s="231"/>
      <c r="AM8" s="231"/>
      <c r="AN8" s="231"/>
      <c r="AO8" s="231"/>
      <c r="AP8" s="231"/>
      <c r="AQ8" s="234"/>
      <c r="AR8" s="234"/>
      <c r="AT8" s="231"/>
      <c r="AW8" s="236"/>
      <c r="AX8" s="236"/>
      <c r="AY8" s="552"/>
      <c r="AZ8" s="552"/>
      <c r="BA8" s="552"/>
      <c r="BB8" s="552"/>
      <c r="BC8" s="552"/>
      <c r="BD8" s="552"/>
      <c r="BE8" s="552"/>
      <c r="BF8" s="552"/>
      <c r="BG8" s="552"/>
      <c r="BH8" s="552"/>
      <c r="BI8" s="552"/>
      <c r="BJ8" s="552"/>
      <c r="BK8" s="552"/>
      <c r="BL8" s="552"/>
      <c r="BM8" s="552"/>
      <c r="BN8" s="582"/>
      <c r="BO8" s="572"/>
      <c r="BP8" s="552"/>
      <c r="BQ8" s="552"/>
      <c r="BR8" s="552"/>
      <c r="BS8" s="594"/>
      <c r="BT8" s="552"/>
      <c r="BU8" s="572"/>
    </row>
    <row r="9" spans="1:74" ht="35.25" customHeight="1" thickBot="1">
      <c r="A9" s="1042" t="s">
        <v>2467</v>
      </c>
      <c r="B9" s="1042"/>
      <c r="C9" s="1042"/>
      <c r="D9" s="1042"/>
      <c r="E9" s="1042"/>
      <c r="F9" s="1042"/>
      <c r="G9" s="1042"/>
      <c r="H9" s="1042"/>
      <c r="I9" s="1042"/>
      <c r="J9" s="1042"/>
      <c r="K9" s="1042"/>
      <c r="L9" s="1042"/>
      <c r="M9" s="18"/>
      <c r="N9" s="18"/>
      <c r="O9" s="212"/>
      <c r="P9" s="212"/>
      <c r="Q9" s="237"/>
      <c r="R9" s="214"/>
      <c r="S9" s="57"/>
      <c r="T9" s="57"/>
      <c r="U9" s="57"/>
      <c r="V9" s="215"/>
      <c r="W9" s="57"/>
      <c r="X9" s="57"/>
      <c r="Y9" s="57"/>
      <c r="Z9" s="57"/>
      <c r="AA9" s="57"/>
      <c r="AB9" s="57"/>
      <c r="AC9" s="57"/>
      <c r="AD9" s="57"/>
      <c r="AE9" s="57"/>
      <c r="AF9" s="238"/>
      <c r="AG9" s="238"/>
      <c r="AH9" s="52"/>
      <c r="AI9" s="18"/>
      <c r="AJ9" s="313"/>
      <c r="AK9" s="226"/>
      <c r="AL9" s="52"/>
      <c r="AM9" s="52"/>
      <c r="AN9" s="52"/>
      <c r="AO9" s="52"/>
      <c r="AP9" s="219"/>
      <c r="AQ9" s="219"/>
      <c r="AR9" s="219"/>
      <c r="AS9" s="1001"/>
      <c r="AT9" s="1001"/>
      <c r="AU9" s="1001"/>
      <c r="AV9" s="1001"/>
      <c r="AW9" s="1001"/>
      <c r="AX9" s="1001"/>
      <c r="AY9" s="1001"/>
      <c r="AZ9" s="550"/>
      <c r="BA9" s="1001"/>
      <c r="BB9" s="1001"/>
      <c r="BC9" s="1001"/>
      <c r="BD9" s="1001"/>
      <c r="BE9" s="1001"/>
      <c r="BF9" s="1001"/>
      <c r="BG9" s="1001"/>
      <c r="BH9" s="1001"/>
      <c r="BI9" s="1001"/>
      <c r="BJ9" s="550"/>
      <c r="BK9" s="1001"/>
      <c r="BL9" s="1001"/>
      <c r="BM9" s="1001"/>
      <c r="BN9" s="1001"/>
      <c r="BO9" s="1001"/>
      <c r="BP9" s="1001"/>
      <c r="BQ9"/>
      <c r="BR9"/>
      <c r="BS9"/>
      <c r="BT9"/>
      <c r="BU9" s="570"/>
    </row>
    <row r="10" spans="1:74" s="18" customFormat="1" ht="31.9" customHeight="1" thickBot="1">
      <c r="B10" s="239"/>
      <c r="C10" s="239"/>
      <c r="D10" s="239"/>
      <c r="E10" s="239"/>
      <c r="F10" s="239"/>
      <c r="I10" s="240"/>
      <c r="K10" s="57"/>
      <c r="O10" s="312" t="str">
        <f>IF(D3="", "", IFERROR(IF(COUNTIF(AP13:AP113,"O列に色付け")=COUNTA(O13:O113),"○","×"),""))</f>
        <v>○</v>
      </c>
      <c r="P10" s="214"/>
      <c r="Q10" s="57"/>
      <c r="R10" s="215"/>
      <c r="S10" s="215"/>
      <c r="T10" s="215"/>
      <c r="U10" s="215"/>
      <c r="V10" s="215"/>
      <c r="W10" s="215"/>
      <c r="X10" s="215"/>
      <c r="Y10" s="215"/>
      <c r="Z10" s="215"/>
      <c r="AA10" s="215"/>
      <c r="AB10" s="215"/>
      <c r="AC10" s="241"/>
      <c r="AD10" s="241"/>
      <c r="AE10" s="979" t="str">
        <f>IF(D3="", "", IFERROR(IF(COUNTIF(AQ13:AQ113,"未入力")=0,"○","×"),""))</f>
        <v>○</v>
      </c>
      <c r="AF10" s="980"/>
      <c r="AG10" s="312" t="str">
        <f>IF(D3="", "", IFERROR(IF(COUNTIF(AS:AS,"未入力")=0,"○","×"),""))</f>
        <v>○</v>
      </c>
      <c r="AH10" s="312" t="str">
        <f>IF(D3="", "", IFERROR(IF(COUNTIF(AU:AU,"未入力")=0,"○","×"),""))</f>
        <v>○</v>
      </c>
      <c r="AI10" s="584" t="str">
        <f>IF(D3="","",IF(AK6&gt;=AK5,"○","×"))</f>
        <v>○</v>
      </c>
      <c r="AJ10" s="242" t="str">
        <f>IF(D3="","", IF(COUNTIF(BA:BA,"未入力")=0,"○","×"))</f>
        <v>○</v>
      </c>
      <c r="AK10" s="242" t="str">
        <f>IF(D3="","",IF(BJ13=0,"",IF(COUNTIF(BD13:BD113,"未入力")+COUNTIF(BH13:BH113,"未入力")=0,"○","×")))</f>
        <v>○</v>
      </c>
      <c r="AL10" s="301"/>
      <c r="AM10" s="301"/>
      <c r="AN10" s="52"/>
      <c r="AO10" s="52"/>
      <c r="BB10" s="243"/>
      <c r="BC10" s="243"/>
      <c r="BD10" s="243"/>
      <c r="BE10" s="243"/>
      <c r="BF10" s="243"/>
      <c r="BG10" s="243"/>
      <c r="BH10" s="243"/>
      <c r="BI10" s="243"/>
      <c r="BJ10" s="243"/>
      <c r="BK10" s="599"/>
      <c r="BL10" s="599"/>
      <c r="BM10" s="600"/>
      <c r="BN10" s="600"/>
      <c r="BO10" s="601">
        <f>BO11+BP11</f>
        <v>743702</v>
      </c>
      <c r="BP10" s="599"/>
      <c r="BQ10" s="599"/>
      <c r="BR10" s="599"/>
      <c r="BS10" s="599"/>
      <c r="BT10" s="599"/>
      <c r="BU10" s="601"/>
      <c r="BV10" s="618">
        <f>BU11+BV11</f>
        <v>8992997</v>
      </c>
    </row>
    <row r="11" spans="1:74" ht="53.25" customHeight="1" thickBot="1">
      <c r="A11" s="981"/>
      <c r="B11" s="983" t="s">
        <v>2225</v>
      </c>
      <c r="C11" s="984"/>
      <c r="D11" s="984"/>
      <c r="E11" s="984"/>
      <c r="F11" s="985"/>
      <c r="G11" s="989" t="s">
        <v>32</v>
      </c>
      <c r="H11" s="991" t="s">
        <v>33</v>
      </c>
      <c r="I11" s="991"/>
      <c r="J11" s="992" t="s">
        <v>152</v>
      </c>
      <c r="K11" s="994" t="s">
        <v>35</v>
      </c>
      <c r="L11" s="996" t="s">
        <v>2233</v>
      </c>
      <c r="M11" s="1025" t="s">
        <v>2459</v>
      </c>
      <c r="N11" s="1026"/>
      <c r="O11" s="1027" t="s">
        <v>193</v>
      </c>
      <c r="P11" s="1029" t="s">
        <v>2226</v>
      </c>
      <c r="Q11" s="968" t="s">
        <v>2232</v>
      </c>
      <c r="R11" s="969"/>
      <c r="S11" s="969"/>
      <c r="T11" s="969"/>
      <c r="U11" s="969"/>
      <c r="V11" s="969"/>
      <c r="W11" s="969"/>
      <c r="X11" s="969"/>
      <c r="Y11" s="969"/>
      <c r="Z11" s="969"/>
      <c r="AA11" s="969"/>
      <c r="AB11" s="970"/>
      <c r="AC11" s="974" t="s">
        <v>2228</v>
      </c>
      <c r="AD11" s="976" t="s">
        <v>2460</v>
      </c>
      <c r="AE11" s="978" t="s">
        <v>154</v>
      </c>
      <c r="AF11" s="966"/>
      <c r="AG11" s="553" t="s">
        <v>155</v>
      </c>
      <c r="AH11" s="553" t="s">
        <v>156</v>
      </c>
      <c r="AI11" s="553" t="s">
        <v>157</v>
      </c>
      <c r="AJ11" s="282" t="s">
        <v>158</v>
      </c>
      <c r="AK11" s="284" t="s">
        <v>159</v>
      </c>
      <c r="AL11" s="302"/>
      <c r="AM11" s="302"/>
      <c r="AN11" s="244"/>
      <c r="AO11" s="562" t="s">
        <v>160</v>
      </c>
      <c r="AP11" s="563"/>
      <c r="AS11" s="27"/>
      <c r="AT11" s="27"/>
      <c r="AU11" s="27"/>
      <c r="AV11" s="27"/>
      <c r="AW11" s="27"/>
      <c r="AX11" s="27"/>
      <c r="AY11" s="27"/>
      <c r="AZ11" s="27"/>
      <c r="BA11" s="27"/>
      <c r="BB11" s="27"/>
      <c r="BC11" s="27"/>
      <c r="BD11" s="27"/>
      <c r="BE11" s="27"/>
      <c r="BF11" s="27"/>
      <c r="BG11" s="27"/>
      <c r="BH11" s="27"/>
      <c r="BI11" s="27"/>
      <c r="BJ11" s="27"/>
      <c r="BK11" s="27"/>
      <c r="BL11" s="27"/>
      <c r="BM11" s="27"/>
      <c r="BN11" s="27"/>
      <c r="BO11" s="602">
        <f>SUM(BO13:BO113)/2</f>
        <v>743702</v>
      </c>
      <c r="BP11" s="27">
        <f>SUM(BP13:BP113)/2</f>
        <v>0</v>
      </c>
      <c r="BQ11" s="1031" t="s">
        <v>2520</v>
      </c>
      <c r="BR11" s="1031"/>
      <c r="BS11" s="603"/>
      <c r="BT11" s="604"/>
      <c r="BU11" s="602">
        <f>SUM(BU13:BU114)/2</f>
        <v>8992997</v>
      </c>
      <c r="BV11" s="27">
        <f>SUM(BV13:BV114)/2</f>
        <v>0</v>
      </c>
    </row>
    <row r="12" spans="1:74" ht="159.75" customHeight="1" thickBot="1">
      <c r="A12" s="982"/>
      <c r="B12" s="986"/>
      <c r="C12" s="987"/>
      <c r="D12" s="987"/>
      <c r="E12" s="987"/>
      <c r="F12" s="988"/>
      <c r="G12" s="990"/>
      <c r="H12" s="246" t="s">
        <v>161</v>
      </c>
      <c r="I12" s="246" t="s">
        <v>162</v>
      </c>
      <c r="J12" s="993"/>
      <c r="K12" s="995"/>
      <c r="L12" s="997"/>
      <c r="M12" s="510" t="s">
        <v>2454</v>
      </c>
      <c r="N12" s="514" t="s">
        <v>2455</v>
      </c>
      <c r="O12" s="1028"/>
      <c r="P12" s="1030"/>
      <c r="Q12" s="971"/>
      <c r="R12" s="972"/>
      <c r="S12" s="972"/>
      <c r="T12" s="972"/>
      <c r="U12" s="972"/>
      <c r="V12" s="972"/>
      <c r="W12" s="972"/>
      <c r="X12" s="972"/>
      <c r="Y12" s="972"/>
      <c r="Z12" s="972"/>
      <c r="AA12" s="972"/>
      <c r="AB12" s="973"/>
      <c r="AC12" s="975"/>
      <c r="AD12" s="977"/>
      <c r="AE12" s="247" t="s">
        <v>163</v>
      </c>
      <c r="AF12" s="248" t="s">
        <v>2465</v>
      </c>
      <c r="AG12" s="249" t="s">
        <v>164</v>
      </c>
      <c r="AH12" s="250" t="s">
        <v>165</v>
      </c>
      <c r="AI12" s="250" t="s">
        <v>2482</v>
      </c>
      <c r="AJ12" s="283" t="s">
        <v>2229</v>
      </c>
      <c r="AK12" s="285" t="s">
        <v>2483</v>
      </c>
      <c r="AL12" s="962" t="s">
        <v>166</v>
      </c>
      <c r="AM12" s="963"/>
      <c r="AN12" s="323"/>
      <c r="AO12" s="251" t="s">
        <v>194</v>
      </c>
      <c r="AP12" s="251" t="s">
        <v>168</v>
      </c>
      <c r="AQ12" s="252" t="s">
        <v>169</v>
      </c>
      <c r="AR12" s="251" t="s">
        <v>195</v>
      </c>
      <c r="AS12" s="251" t="s">
        <v>170</v>
      </c>
      <c r="AT12" s="251" t="s">
        <v>171</v>
      </c>
      <c r="AU12" s="251" t="s">
        <v>172</v>
      </c>
      <c r="AV12" s="253" t="s">
        <v>2187</v>
      </c>
      <c r="AW12" s="253" t="s">
        <v>2200</v>
      </c>
      <c r="AX12" s="251" t="s">
        <v>174</v>
      </c>
      <c r="AY12" s="253" t="s">
        <v>175</v>
      </c>
      <c r="AZ12" s="251" t="s">
        <v>176</v>
      </c>
      <c r="BA12" s="253" t="s">
        <v>177</v>
      </c>
      <c r="BB12" s="253" t="s">
        <v>178</v>
      </c>
      <c r="BC12" s="251" t="s">
        <v>179</v>
      </c>
      <c r="BD12" s="253" t="s">
        <v>180</v>
      </c>
      <c r="BE12" s="253" t="s">
        <v>2192</v>
      </c>
      <c r="BF12" s="253" t="s">
        <v>2210</v>
      </c>
      <c r="BG12" s="253" t="s">
        <v>2198</v>
      </c>
      <c r="BH12" s="253" t="s">
        <v>2206</v>
      </c>
      <c r="BI12" s="254" t="s">
        <v>181</v>
      </c>
      <c r="BJ12"/>
      <c r="BK12" s="27"/>
      <c r="BL12" s="605" t="s">
        <v>2464</v>
      </c>
      <c r="BM12" s="605" t="s">
        <v>2472</v>
      </c>
      <c r="BN12" s="605" t="s">
        <v>2485</v>
      </c>
      <c r="BO12" s="606" t="s">
        <v>2473</v>
      </c>
      <c r="BP12" s="605" t="s">
        <v>2485</v>
      </c>
      <c r="BQ12" s="605" t="s">
        <v>2505</v>
      </c>
      <c r="BR12" s="605" t="s">
        <v>2506</v>
      </c>
      <c r="BS12" s="605" t="s">
        <v>2507</v>
      </c>
      <c r="BT12" s="605" t="s">
        <v>2510</v>
      </c>
      <c r="BU12" s="606" t="s">
        <v>2518</v>
      </c>
      <c r="BV12" s="607" t="s">
        <v>2519</v>
      </c>
    </row>
    <row r="13" spans="1:74" ht="109.9" customHeight="1" thickBot="1">
      <c r="A13" s="303">
        <v>1</v>
      </c>
      <c r="B13" s="956" t="str">
        <f>IF(基本情報入力シート!B35="","",基本情報入力シート!B35)</f>
        <v>1234567899</v>
      </c>
      <c r="C13" s="957"/>
      <c r="D13" s="957"/>
      <c r="E13" s="957"/>
      <c r="F13" s="958"/>
      <c r="G13" s="304" t="str">
        <f>IF(基本情報入力シート!L35="", "", 基本情報入力シート!L35)</f>
        <v>東京都</v>
      </c>
      <c r="H13" s="304" t="str">
        <f>IF(基本情報入力シート!Q35="", "", 基本情報入力シート!Q35)</f>
        <v>東京都</v>
      </c>
      <c r="I13" s="304" t="str">
        <f>IF(基本情報入力シート!V35="", "", 基本情報入力シート!V35)</f>
        <v>三鷹市</v>
      </c>
      <c r="J13" s="304" t="str">
        <f>IF(基本情報入力シート!W35="", "", 基本情報入力シート!W35)</f>
        <v>障害福祉事業所名称０１</v>
      </c>
      <c r="K13" s="304" t="str">
        <f>IF(基本情報入力シート!Z35="", "", 基本情報入力シート!Z35)</f>
        <v>居宅介護</v>
      </c>
      <c r="L13" s="558">
        <f>IF(基本情報入力シート!AF35=0, "",基本情報入力シート!AF35)</f>
        <v>337280</v>
      </c>
      <c r="M13" s="524" t="str">
        <f>IF('別紙様式2-2（個票（４、５月））'!M13="","",'別紙様式2-2（個票（４、５月））'!M13)</f>
        <v>処遇改善加算Ⅱ</v>
      </c>
      <c r="N13" s="523">
        <f>IF('別紙様式2-2（個票（４、５月））'!N13="","",'別紙様式2-2（個票（４、５月））'!N13)</f>
        <v>0.40200000000000002</v>
      </c>
      <c r="O13" s="286" t="s">
        <v>2215</v>
      </c>
      <c r="P13" s="555">
        <f>IFERROR(VLOOKUP(K13,【参考】数式用!$A$2:$M$57,MATCH(O13,【参考】数式用!$G$3:$M$3,0)+6,0),"")</f>
        <v>0.45600000000000002</v>
      </c>
      <c r="Q13" s="310" t="s">
        <v>118</v>
      </c>
      <c r="R13" s="308">
        <v>8</v>
      </c>
      <c r="S13" s="309" t="s">
        <v>183</v>
      </c>
      <c r="T13" s="308">
        <v>6</v>
      </c>
      <c r="U13" s="309" t="s">
        <v>184</v>
      </c>
      <c r="V13" s="308">
        <v>9</v>
      </c>
      <c r="W13" s="309" t="s">
        <v>183</v>
      </c>
      <c r="X13" s="308">
        <v>3</v>
      </c>
      <c r="Y13" s="309" t="s">
        <v>185</v>
      </c>
      <c r="Z13" s="309" t="s">
        <v>186</v>
      </c>
      <c r="AA13" s="309">
        <f>IF(R13&gt;=1,(V13*12+X13)-(R13*12+T13)+1,"")</f>
        <v>10</v>
      </c>
      <c r="AB13" s="305" t="s">
        <v>187</v>
      </c>
      <c r="AC13" s="306">
        <f>IFERROR(ROUNDDOWN(ROUND(L13*P13,0),0)*AA13,"")</f>
        <v>1538000</v>
      </c>
      <c r="AD13" s="515">
        <f>IFERROR(ROUNDDOWN(ROUND((L13*(P13-N13)),0),0)*AA13,"")</f>
        <v>182130</v>
      </c>
      <c r="AE13" s="307">
        <f>IFERROR(ROUNDDOWN(ROUNDDOWN(ROUND(L13*VLOOKUP(K13,【参考】数式用!$A$2:$M$57,MATCH("処遇改善加算Ⅳ",【参考】数式用!$G$3:$M$3,0)+6,0),0),0)*AA13*0.5,0), "")</f>
        <v>509295</v>
      </c>
      <c r="AF13" s="318" t="s">
        <v>2209</v>
      </c>
      <c r="AG13" s="319" t="s">
        <v>2209</v>
      </c>
      <c r="AH13" s="319" t="s">
        <v>2209</v>
      </c>
      <c r="AI13" s="318" t="s">
        <v>2209</v>
      </c>
      <c r="AJ13" s="320" t="s">
        <v>2357</v>
      </c>
      <c r="AK13" s="326" t="s">
        <v>2462</v>
      </c>
      <c r="AL13" s="324" t="str">
        <f t="shared" ref="AL13:AL44" si="0">IF(AND(O13&lt;&gt;"", OR(V13&lt;&gt;9,X13&lt;&gt;3)),"！算定期間の終わりが令和９年３月になっていません。６月以降、年度の途中で加算区分を変更する場合は、基本情報入力シートに対象となる事業所の行を追加し、このシートに記入してください。その際、４，５月分シートでは同一事業所について複数回記入しないように注意してください。",
 IF(AND(AO13="加算対象外",O13&lt;&gt;"",AG13="―",AK13="―"),"このサービスについては、キャリアパス要件Ⅰ・Ⅱか令和８年度特例要件のどちらかの要件を満たしている必要があります",""))</f>
        <v/>
      </c>
      <c r="AM13" s="325" t="str">
        <f>IF(O13="","",IF(OR(AND(COUNTIF(AQ13,"未入力")&gt;0,AF13=""),AND(COUNTIF(AS13,"未入力")&gt;0,AG13=""),AND(COUNTIF(AW13,"未入力")&gt;0,AI13=""),AND(COUNTIF(AO13:BD13,"AH列に色付け")&gt;0,AH13=""),AND(COUNTIF(AO13:BD13,"AG列に色付け")&gt;0,OR(AI13="",AI13=0)),AND(COUNTIF(AO13:BD13,"AJ列に色付け")&gt;0,AJ13=""),AND(COUNTIF(AO13:BD13,"AK列に色付け")&gt;0,AK13="",NOT(OR(BE13="AK列色消し",BF13="AK列色消し")))),"！記入が必要な欄（オレンジ色のセル）に空欄があります。空欄を埋めてください。",""))</f>
        <v/>
      </c>
      <c r="AN13" s="255"/>
      <c r="AO13" s="557" t="str">
        <f>IFERROR(VLOOKUP(K13,【参考】数式用!$A$2:$N$57,14,FALSE),"")</f>
        <v>加算対象</v>
      </c>
      <c r="AP13" s="557" t="str">
        <f>IF(AND(K13&lt;&gt;""),"O列に色付け","")</f>
        <v>O列に色付け</v>
      </c>
      <c r="AQ13" s="561" t="str">
        <f t="shared" ref="AQ13:AQ44" si="1">IF(AND(AE13&lt;&gt;0,AE13&lt;&gt;"",AO13="加算対象"),IF(AF13="○","入力済","未入力"),"")</f>
        <v>入力済</v>
      </c>
      <c r="AR13" s="561" t="str">
        <f>"キャリアパス要件Ⅰ・Ⅱ_"&amp;AO13</f>
        <v>キャリアパス要件Ⅰ・Ⅱ_加算対象</v>
      </c>
      <c r="AS13" s="540" t="str">
        <f t="shared" ref="AS13:AS44" si="2">IF(AND(O13&lt;&gt;"", AG13=""), "未入力", "入力済")</f>
        <v>入力済</v>
      </c>
      <c r="AT13" s="557" t="str">
        <f>IF(AND(O13&lt;&gt;"", O13&lt;&gt;"処遇改善加算Ⅳ",AO13="加算対象"),"AH列に色付け","")</f>
        <v>AH列に色付け</v>
      </c>
      <c r="AU13" s="540" t="str">
        <f t="shared" ref="AU13:AU44" si="3">IF(AND(O13&lt;&gt;"", O13&lt;&gt;"処遇改善加算Ⅳ",O13&lt;&gt;"処遇改善加算", AH13=""), "未入力", "入力済")</f>
        <v>入力済</v>
      </c>
      <c r="AV13" s="540" t="str">
        <f t="shared" ref="AV13:AV44" si="4">IF(OR(ISNUMBER(SEARCH("処遇改善加算Ⅰ",O13)),ISNUMBER(SEARCH("処遇改善加算Ⅱ",O13))),"対象","")</f>
        <v>対象</v>
      </c>
      <c r="AW13" s="540" t="str">
        <f>IF(AND(O13&lt;&gt;"", O13&lt;&gt;"処遇改善加算Ⅲ", O13&lt;&gt;"処遇改善加算Ⅳ",O13&lt;&gt;"処遇改善加算"),"対象", "")</f>
        <v>対象</v>
      </c>
      <c r="AX13" s="557" t="str">
        <f t="shared" ref="AX13:AX44" si="5">IF(AND(AW13=1, OR(AI13=0,AI13=""),AO13="加算対象"),"AH列に色付け","")</f>
        <v/>
      </c>
      <c r="AY13" s="540" t="str">
        <f>IFERROR(VLOOKUP(K13,【参考】数式用!$AR$3:$AS$49, 2, FALSE), "")</f>
        <v>居宅介護Ⅴ</v>
      </c>
      <c r="AZ13" s="557" t="str">
        <f>IF(AND(AO13="加算対象",OR(O13="処遇改善加算Ⅰイ",O13="処遇改善加算Ⅰロ")),"AJ列に色付け","")</f>
        <v>AJ列に色付け</v>
      </c>
      <c r="BA13" s="560" t="str">
        <f t="shared" ref="BA13:BA44" si="6">IF(AND(OR(O13="処遇改善加算Ⅰイ",O13="処遇改善加算Ⅰロ"), AJ13=""), "未入力","入力済")</f>
        <v>入力済</v>
      </c>
      <c r="BB13" s="540" t="str">
        <f>IFERROR(VLOOKUP(K13,【参考】数式用!$AX$3:$AY$59, 2, FALSE), "")</f>
        <v>居宅介護R8</v>
      </c>
      <c r="BC13" s="557" t="str">
        <f>IF(OR(COUNTIF(AG13:AI13,"*令和８年度特例要件を*")&gt;0,ISNUMBER(SEARCH("処遇改善加算Ⅰロ",O13)),ISNUMBER(SEARCH("処遇改善加算Ⅱロ",O13)),AO13="加算対象外"),"AK列に色付け","")</f>
        <v>AK列に色付け</v>
      </c>
      <c r="BD13" s="560" t="str">
        <f t="shared" ref="BD13:BD44" si="7">IF(AND(COUNTIF(AG13:AI13,"*令和８年度特例要件を*")&gt;0,AK13=""), "未入力","入力済")</f>
        <v>入力済</v>
      </c>
      <c r="BE13" s="560" t="str">
        <f>IF(OR(ISNUMBER(SEARCH("処遇改善加算Ⅰロ",O13)),ISNUMBER(SEARCH("処遇改善加算Ⅱロ",O13))),"",IF(AND(BC13="AK列に色付け",OR(AG13="○",AG13="誓約"),AH13="○",AI13&gt;=1),"AK列色消し",""))</f>
        <v/>
      </c>
      <c r="BF13" s="560" t="str">
        <f>IF(AND(O13="処遇改善加算",OR(AG13="○",AG13="誓約")),"AK列色消し","")</f>
        <v/>
      </c>
      <c r="BG13" s="560" t="str">
        <f>IF(OR(TRIM(BC13)="",BE13="AK列色消し",BF13="AK列色消し"),"","入力必要")</f>
        <v>入力必要</v>
      </c>
      <c r="BH13" s="560" t="str">
        <f t="shared" ref="BH13:BH44" si="8">IF(AND(BE13="",BG13="入力必要"),IF(AK13="","未入力","入力済"),"")</f>
        <v>入力済</v>
      </c>
      <c r="BI13" s="560" t="str">
        <f t="shared" ref="BI13:BI44" si="9">G13</f>
        <v>東京都</v>
      </c>
      <c r="BJ13" s="27">
        <f>IF(COUNTIF(BG:BG,"*入力必要*"),1,0)</f>
        <v>1</v>
      </c>
      <c r="BK13" s="27" t="str">
        <f>IF(D3="", "", IF(SUM(AK6:AK7)&gt;=AK5,"○","×"))</f>
        <v>○</v>
      </c>
      <c r="BL13" s="607" t="str">
        <f>IF(AND(K13&lt;&gt;"",K13&lt;&gt;"計画相談支援",K13&lt;&gt;"地域相談支援（地域定着支援）",K13&lt;&gt;"地域相談支援（地域移行支援）",K13&lt;&gt;"障害児相談支援"),"O列に色付け","")</f>
        <v>O列に色付け</v>
      </c>
      <c r="BM13" s="607" t="str">
        <f>IF(OR(O13="処遇改善加算Ⅰロ",O13="処遇改善加算Ⅱロ"),"対象","")</f>
        <v>対象</v>
      </c>
      <c r="BN13" s="607" t="str">
        <f>IF(BM13="","",IF(OR(K13="重度障害者等包括支援",K13="施設入所支援",K13="短期入所",K13="就労定着支援",K13="居宅訪問型児童発達支援",K13="保育所等訪問支援",K13="障害者支援施設：生活介護",K13="障害者支援施設：自立訓練（機能訓練）",K13="障害者支援施設：自立訓練（生活訓練）",K13="障害者支援施設：就労移行支援",K13="障害者支援施設：就労継続支援Ａ型",K13="障害者支援施設：就労継続支援Ｂ型"),"特例","対象"))</f>
        <v>対象</v>
      </c>
      <c r="BO13" s="608">
        <f>IF(BN13="対象",ROUNDDOWN(L13*VLOOKUP(K13,【参考】数式用!$A$4:$J$42,10,FALSE)*AA13,0),"")</f>
        <v>1487404</v>
      </c>
      <c r="BP13" s="607" t="str">
        <f>IF(BN13="特例",AC13,"")</f>
        <v/>
      </c>
      <c r="BQ13" s="607" t="str">
        <f>IF(O13="処遇改善加算","対象","")</f>
        <v/>
      </c>
      <c r="BR13" s="609" t="str">
        <f>IF(BQ13="","",IF(OR(AG13="○",AG13="誓約"),"対象",""))</f>
        <v/>
      </c>
      <c r="BS13" s="609" t="str">
        <f>IF(BM13="対象","",IF(COUNTIF(AF13:AH13,"*令和８年度特例要件を*")&gt;0,"特例要件",""))</f>
        <v/>
      </c>
      <c r="BT13" s="607" t="str">
        <f>IF(BS13="特例要件",IF(OR(K13="重度障害者等包括支援",K13="施設入所支援",K13="短期入所",K13="就労定着支援",K13="居宅訪問型児童発達支援",K13="保育所等訪問支援",K13="障害者支援施設：生活介護",K13="障害者支援施設：自立訓練（機能訓練）",K13="障害者支援施設：自立訓練（生活訓練）",K13="障害者支援施設：就労移行支援",K13="障害者支援施設：就労継続支援Ａ型",K13="障害者支援施設：就労継続支援Ｂ型"),"Ⅱロなし","Ⅱロ有り"),"")</f>
        <v/>
      </c>
      <c r="BU13" s="608" t="str">
        <f>IF(BT13="Ⅱロ有り",ROUNDDOWN(L13*VLOOKUP(K13,【参考】数式用!$A$4:$J$42,10,FALSE)*AA13,0),"")</f>
        <v/>
      </c>
      <c r="BV13" s="607" t="str">
        <f>IF(BT13="Ⅱロなし",ROUNDDOWN(L13*VLOOKUP(K13,【参考】数式用!$A$4:$J$42,8,FALSE)*AA13,0),"")</f>
        <v/>
      </c>
    </row>
    <row r="14" spans="1:74" s="257" customFormat="1" ht="109.9" customHeight="1" thickBot="1">
      <c r="A14" s="303">
        <v>2</v>
      </c>
      <c r="B14" s="956" t="str">
        <f>IF(基本情報入力シート!B36="","",基本情報入力シート!B36)</f>
        <v>1234567900</v>
      </c>
      <c r="C14" s="957"/>
      <c r="D14" s="957"/>
      <c r="E14" s="957"/>
      <c r="F14" s="958"/>
      <c r="G14" s="304" t="str">
        <f>IF(基本情報入力シート!L36="", "", 基本情報入力シート!L36)</f>
        <v>東京都</v>
      </c>
      <c r="H14" s="304" t="str">
        <f>IF(基本情報入力シート!Q36="", "", 基本情報入力シート!Q36)</f>
        <v>東京都</v>
      </c>
      <c r="I14" s="304" t="str">
        <f>IF(基本情報入力シート!V36="", "", 基本情報入力シート!V36)</f>
        <v>府中市</v>
      </c>
      <c r="J14" s="304" t="str">
        <f>IF(基本情報入力シート!W36="", "", 基本情報入力シート!W36)</f>
        <v>障害福祉事業所名称０２</v>
      </c>
      <c r="K14" s="304" t="str">
        <f>IF(基本情報入力シート!Z36="", "", 基本情報入力シート!Z36)</f>
        <v>生活介護</v>
      </c>
      <c r="L14" s="558">
        <f>IF(基本情報入力シート!AF36=0, "",基本情報入力シート!AF36)</f>
        <v>4365540</v>
      </c>
      <c r="M14" s="524" t="str">
        <f>IF('別紙様式2-2（個票（４、５月））'!M14="","",'別紙様式2-2（個票（４、５月））'!M14)</f>
        <v>処遇改善加算Ⅳ</v>
      </c>
      <c r="N14" s="523">
        <f>IF('別紙様式2-2（個票（４、５月））'!N14="","",'別紙様式2-2（個票（４、５月））'!N14)</f>
        <v>5.4999999999999993E-2</v>
      </c>
      <c r="O14" s="286" t="s">
        <v>196</v>
      </c>
      <c r="P14" s="555">
        <f>IFERROR(VLOOKUP(K14,【参考】数式用!$A$2:$M$57,MATCH(O14,【参考】数式用!$G$3:$M$3,0)+6,0),"")</f>
        <v>7.9000000000000001E-2</v>
      </c>
      <c r="Q14" s="310" t="s">
        <v>118</v>
      </c>
      <c r="R14" s="308">
        <v>8</v>
      </c>
      <c r="S14" s="309" t="s">
        <v>183</v>
      </c>
      <c r="T14" s="308">
        <v>6</v>
      </c>
      <c r="U14" s="309" t="s">
        <v>184</v>
      </c>
      <c r="V14" s="308">
        <v>9</v>
      </c>
      <c r="W14" s="309" t="s">
        <v>183</v>
      </c>
      <c r="X14" s="308">
        <v>3</v>
      </c>
      <c r="Y14" s="309" t="s">
        <v>185</v>
      </c>
      <c r="Z14" s="309" t="s">
        <v>186</v>
      </c>
      <c r="AA14" s="309">
        <f>IF(R14&gt;=1,(V14*12+X14)-(R14*12+T14)+1,"")</f>
        <v>10</v>
      </c>
      <c r="AB14" s="305" t="s">
        <v>187</v>
      </c>
      <c r="AC14" s="306">
        <f t="shared" ref="AC14:AC77" si="10">IFERROR(ROUNDDOWN(ROUND(L14*P14,0),0)*AA14,"")</f>
        <v>3448780</v>
      </c>
      <c r="AD14" s="515">
        <f t="shared" ref="AD14:AD77" si="11">IFERROR(ROUNDDOWN(ROUND((L14*(P14-N14)),0),0)*AA14,"")</f>
        <v>1047730</v>
      </c>
      <c r="AE14" s="307">
        <f>IFERROR(ROUNDDOWN(ROUNDDOWN(ROUND(L14*VLOOKUP(K14,【参考】数式用!$A$2:$M$57,MATCH("処遇改善加算Ⅳ",【参考】数式用!$G$3:$M$3,0)+6,0),0),0)*AA14*0.5,0), "")</f>
        <v>1462455</v>
      </c>
      <c r="AF14" s="318" t="s">
        <v>2209</v>
      </c>
      <c r="AG14" s="319" t="s">
        <v>2209</v>
      </c>
      <c r="AH14" s="319" t="s">
        <v>2209</v>
      </c>
      <c r="AI14" s="318"/>
      <c r="AJ14" s="320"/>
      <c r="AK14" s="326"/>
      <c r="AL14" s="324" t="str">
        <f t="shared" si="0"/>
        <v/>
      </c>
      <c r="AM14" s="325" t="str">
        <f t="shared" ref="AM14:AM77" si="12">IF(O14="","",IF(OR(AND(COUNTIF(AQ14,"未入力")&gt;0,AF14=""),AND(COUNTIF(AS14,"未入力")&gt;0,AG14=""),AND(COUNTIF(AW14,"未入力")&gt;0,AI14=""),AND(COUNTIF(AO14:BD14,"AH列に色付け")&gt;0,AH14=""),AND(COUNTIF(AO14:BD14,"AG列に色付け")&gt;0,OR(AI14="",AI14=0)),AND(COUNTIF(AO14:BD14,"AJ列に色付け")&gt;0,AJ14=""),AND(COUNTIF(AO14:BD14,"AK列に色付け")&gt;0,AK14="",NOT(OR(BE14="AK列色消し",BF14="AK列色消し")))),"！記入が必要な欄（オレンジ色のセル）に空欄があります。空欄を埋めてください。",""))</f>
        <v/>
      </c>
      <c r="AN14" s="255"/>
      <c r="AO14" s="557" t="str">
        <f>IFERROR(VLOOKUP(K14,【参考】数式用!$A$2:$N$57,14,FALSE),"")</f>
        <v>加算対象</v>
      </c>
      <c r="AP14" s="557" t="str">
        <f t="shared" ref="AP14:AP77" si="13">IF(AND(K14&lt;&gt;""),"O列に色付け","")</f>
        <v>O列に色付け</v>
      </c>
      <c r="AQ14" s="561" t="str">
        <f t="shared" si="1"/>
        <v>入力済</v>
      </c>
      <c r="AR14" s="561" t="str">
        <f>"キャリアパス要件Ⅰ・Ⅱ_"&amp;AO14</f>
        <v>キャリアパス要件Ⅰ・Ⅱ_加算対象</v>
      </c>
      <c r="AS14" s="540" t="str">
        <f t="shared" si="2"/>
        <v>入力済</v>
      </c>
      <c r="AT14" s="557" t="str">
        <f t="shared" ref="AT14:AT77" si="14">IF(AND(O14&lt;&gt;"", O14&lt;&gt;"処遇改善加算Ⅳ",AO14="加算対象"),"AH列に色付け","")</f>
        <v>AH列に色付け</v>
      </c>
      <c r="AU14" s="540" t="str">
        <f t="shared" si="3"/>
        <v>入力済</v>
      </c>
      <c r="AV14" s="540" t="str">
        <f t="shared" si="4"/>
        <v/>
      </c>
      <c r="AW14" s="576" t="str">
        <f t="shared" ref="AW14:AW77" si="15">IF(AND(O14&lt;&gt;"", O14&lt;&gt;"処遇改善加算Ⅲ", O14&lt;&gt;"処遇改善加算Ⅳ",O14&lt;&gt;"処遇改善加算"),"対象", "")</f>
        <v/>
      </c>
      <c r="AX14" s="557" t="str">
        <f t="shared" si="5"/>
        <v/>
      </c>
      <c r="AY14" s="540" t="str">
        <f>IFERROR(VLOOKUP(K14,【参考】数式用!$AR$3:$AS$49, 2, FALSE), "")</f>
        <v>生活介護V</v>
      </c>
      <c r="AZ14" s="557" t="str">
        <f t="shared" ref="AZ14:AZ77" si="16">IF(AND(AO14="加算対象",OR(O14="処遇改善加算Ⅰイ",O14="処遇改善加算Ⅰロ")),"AJ列に色付け","")</f>
        <v/>
      </c>
      <c r="BA14" s="560" t="str">
        <f t="shared" si="6"/>
        <v>入力済</v>
      </c>
      <c r="BB14" s="540" t="str">
        <f>IFERROR(VLOOKUP(K14,【参考】数式用!$AX$3:$AY$59, 2, FALSE), "")</f>
        <v>生活介護R8</v>
      </c>
      <c r="BC14" s="557" t="str">
        <f t="shared" ref="BC14:BC77" si="17">IF(OR(COUNTIF(AG14:AI14,"*令和８年度特例要件を*")&gt;0,ISNUMBER(SEARCH("処遇改善加算Ⅰロ",O14)),ISNUMBER(SEARCH("処遇改善加算Ⅱロ",O14)),AO14="加算対象外"),"AK列に色付け","")</f>
        <v/>
      </c>
      <c r="BD14" s="560" t="str">
        <f t="shared" si="7"/>
        <v>入力済</v>
      </c>
      <c r="BE14" s="560" t="str">
        <f t="shared" ref="BE14:BE77" si="18">IF(OR(ISNUMBER(SEARCH("処遇改善加算Ⅰロ",O14)),ISNUMBER(SEARCH("処遇改善加算Ⅱロ",O14))),"",IF(AND(BC14="AK列に色付け",OR(AG14="○",AG14="誓約"),AH14="○",AI14&gt;=1),"AK列色消し",""))</f>
        <v/>
      </c>
      <c r="BF14" s="560" t="str">
        <f t="shared" ref="BF14:BF77" si="19">IF(AND(O14="処遇改善加算",OR(AG14="○",AG14="誓約")),"AK列色消し","")</f>
        <v/>
      </c>
      <c r="BG14" s="560" t="str">
        <f t="shared" ref="BG14:BG77" si="20">IF(OR(TRIM(BC14)="",BE14="AK列色消し",BF14="AK列色消し"),"","入力必要")</f>
        <v/>
      </c>
      <c r="BH14" s="560" t="str">
        <f t="shared" si="8"/>
        <v/>
      </c>
      <c r="BI14" s="560" t="str">
        <f t="shared" si="9"/>
        <v>東京都</v>
      </c>
      <c r="BJ14" s="219"/>
      <c r="BK14" s="27"/>
      <c r="BL14" s="607" t="str">
        <f t="shared" ref="BL14:BL77" si="21">IF(AND(K14&lt;&gt;"",K14&lt;&gt;"計画相談支援",K14&lt;&gt;"地域相談支援（地域定着支援）",K14&lt;&gt;"地域相談支援（地域移行支援）",K14&lt;&gt;"障害児相談支援"),"O列に色付け","")</f>
        <v>O列に色付け</v>
      </c>
      <c r="BM14" s="607" t="str">
        <f t="shared" ref="BM14:BM77" si="22">IF(OR(O14="処遇改善加算Ⅰロ",O14="処遇改善加算Ⅱロ"),"対象","")</f>
        <v/>
      </c>
      <c r="BN14" s="607" t="str">
        <f t="shared" ref="BN14:BN77" si="23">IF(BM14="","",IF(OR(K14="重度障害者等包括支援",K14="施設入所支援",K14="短期入所",K14="就労定着支援",K14="居宅訪問型児童発達支援",K14="保育所等訪問支援",K14="障害者支援施設：生活介護",K14="障害者支援施設：自立訓練（機能訓練）",K14="障害者支援施設：自立訓練（生活訓練）",K14="障害者支援施設：就労移行支援",K14="障害者支援施設：就労継続支援Ａ型",K14="障害者支援施設：就労継続支援Ｂ型"),"特例","対象"))</f>
        <v/>
      </c>
      <c r="BO14" s="608" t="str">
        <f>IF(BM14="","",ROUNDDOWN(L14*VLOOKUP(K14,【参考】数式用!$A$4:$J$42,10,FALSE)*AA14,0))</f>
        <v/>
      </c>
      <c r="BP14" s="607" t="str">
        <f t="shared" ref="BP14:BP77" si="24">IF(BN14="特例",AC14,"")</f>
        <v/>
      </c>
      <c r="BQ14" s="607" t="str">
        <f t="shared" ref="BQ14:BQ77" si="25">IF(O14="処遇改善加算","対象","")</f>
        <v/>
      </c>
      <c r="BR14" s="609" t="str">
        <f t="shared" ref="BR14:BR77" si="26">IF(BQ14="","",IF(OR(AG14="○",AG14="誓約"),"対象",""))</f>
        <v/>
      </c>
      <c r="BS14" s="609" t="str">
        <f t="shared" ref="BS14:BS77" si="27">IF(BM14="対象","",IF(COUNTIF(AF14:AH14,"*令和８年度特例要件を*")&gt;0,"特例要件",""))</f>
        <v/>
      </c>
      <c r="BT14" s="607" t="str">
        <f t="shared" ref="BT14:BT77" si="28">IF(BS14="特例要件",IF(OR(K14="重度障害者等包括支援",K14="施設入所支援",K14="短期入所",K14="就労定着支援",K14="居宅訪問型児童発達支援",K14="保育所等訪問支援",K14="障害者支援施設：生活介護",K14="障害者支援施設：自立訓練（機能訓練）",K14="障害者支援施設：自立訓練（生活訓練）",K14="障害者支援施設：就労移行支援",K14="障害者支援施設：就労継続支援Ａ型",K14="障害者支援施設：就労継続支援Ｂ型"),"Ⅱロなし","Ⅱロ有り"),"")</f>
        <v/>
      </c>
      <c r="BU14" s="608" t="str">
        <f>IF(BT14="Ⅱロ有り",ROUNDDOWN(L14*VLOOKUP(K14,【参考】数式用!$A$4:$J$42,10,FALSE)*AA14,0),"")</f>
        <v/>
      </c>
      <c r="BV14" s="607" t="str">
        <f>IF(BT14="Ⅱロなし",ROUNDDOWN(L14*VLOOKUP(K14,【参考】数式用!$A$4:$J$42,8,FALSE)*AA14,0),"")</f>
        <v/>
      </c>
    </row>
    <row r="15" spans="1:74" s="257" customFormat="1" ht="109.9" customHeight="1" thickBot="1">
      <c r="A15" s="303">
        <v>3</v>
      </c>
      <c r="B15" s="956" t="str">
        <f>IF(基本情報入力シート!B37="","",基本情報入力シート!B37)</f>
        <v>1234567901</v>
      </c>
      <c r="C15" s="957"/>
      <c r="D15" s="957"/>
      <c r="E15" s="957"/>
      <c r="F15" s="958"/>
      <c r="G15" s="304" t="str">
        <f>IF(基本情報入力シート!L37="", "", 基本情報入力シート!L37)</f>
        <v>東京都</v>
      </c>
      <c r="H15" s="304" t="str">
        <f>IF(基本情報入力シート!Q37="", "", 基本情報入力シート!Q37)</f>
        <v>東京都</v>
      </c>
      <c r="I15" s="304" t="str">
        <f>IF(基本情報入力シート!V37="", "", 基本情報入力シート!V37)</f>
        <v>立川市</v>
      </c>
      <c r="J15" s="304" t="str">
        <f>IF(基本情報入力シート!W37="", "", 基本情報入力シート!W37)</f>
        <v>障害福祉事業所名称０３</v>
      </c>
      <c r="K15" s="304" t="str">
        <f>IF(基本情報入力シート!Z37="", "", 基本情報入力シート!Z37)</f>
        <v>就労継続支援Ｂ型</v>
      </c>
      <c r="L15" s="558">
        <f>IF(基本情報入力シート!AF37=0, "",基本情報入力シート!AF37)</f>
        <v>2121150</v>
      </c>
      <c r="M15" s="524" t="str">
        <f>IF('別紙様式2-2（個票（４、５月））'!M15="","",'別紙様式2-2（個票（４、５月））'!M15)</f>
        <v>処遇改善加算Ⅰ</v>
      </c>
      <c r="N15" s="523">
        <f>IF('別紙様式2-2（個票（４、５月））'!N15="","",'別紙様式2-2（個票（４、５月））'!N15)</f>
        <v>9.2999999999999999E-2</v>
      </c>
      <c r="O15" s="286" t="s">
        <v>2414</v>
      </c>
      <c r="P15" s="555">
        <f>IFERROR(VLOOKUP(K15,【参考】数式用!$A$2:$M$57,MATCH(O15,【参考】数式用!$G$3:$M$3,0)+6,0),"")</f>
        <v>0.105</v>
      </c>
      <c r="Q15" s="310" t="s">
        <v>118</v>
      </c>
      <c r="R15" s="308">
        <v>8</v>
      </c>
      <c r="S15" s="309" t="s">
        <v>183</v>
      </c>
      <c r="T15" s="308">
        <v>6</v>
      </c>
      <c r="U15" s="309" t="s">
        <v>184</v>
      </c>
      <c r="V15" s="308">
        <v>9</v>
      </c>
      <c r="W15" s="309" t="s">
        <v>183</v>
      </c>
      <c r="X15" s="308">
        <v>3</v>
      </c>
      <c r="Y15" s="309" t="s">
        <v>185</v>
      </c>
      <c r="Z15" s="309" t="s">
        <v>186</v>
      </c>
      <c r="AA15" s="309">
        <f t="shared" ref="AA15:AA79" si="29">IF(R15&gt;=1,(V15*12+X15)-(R15*12+T15)+1,"")</f>
        <v>10</v>
      </c>
      <c r="AB15" s="305" t="s">
        <v>187</v>
      </c>
      <c r="AC15" s="306">
        <f t="shared" si="10"/>
        <v>2227210</v>
      </c>
      <c r="AD15" s="515">
        <f t="shared" si="11"/>
        <v>254540</v>
      </c>
      <c r="AE15" s="307">
        <f>IFERROR(ROUNDDOWN(ROUNDDOWN(ROUND(L15*VLOOKUP(K15,【参考】数式用!$A$2:$M$57,MATCH("処遇改善加算Ⅳ",【参考】数式用!$G$3:$M$3,0)+6,0),0),0)*AA15*0.5,0), "")</f>
        <v>784825</v>
      </c>
      <c r="AF15" s="318" t="s">
        <v>2209</v>
      </c>
      <c r="AG15" s="319" t="s">
        <v>2209</v>
      </c>
      <c r="AH15" s="319" t="s">
        <v>2209</v>
      </c>
      <c r="AI15" s="318" t="s">
        <v>2209</v>
      </c>
      <c r="AJ15" s="320" t="s">
        <v>2360</v>
      </c>
      <c r="AK15" s="326"/>
      <c r="AL15" s="324" t="str">
        <f t="shared" si="0"/>
        <v/>
      </c>
      <c r="AM15" s="325" t="str">
        <f t="shared" si="12"/>
        <v/>
      </c>
      <c r="AN15" s="255"/>
      <c r="AO15" s="557" t="str">
        <f>IFERROR(VLOOKUP(K15,【参考】数式用!$A$2:$N$57,14,FALSE),"")</f>
        <v>加算対象</v>
      </c>
      <c r="AP15" s="557" t="str">
        <f t="shared" si="13"/>
        <v>O列に色付け</v>
      </c>
      <c r="AQ15" s="561" t="str">
        <f t="shared" si="1"/>
        <v>入力済</v>
      </c>
      <c r="AR15" s="561" t="str">
        <f t="shared" ref="AR15:AR78" si="30">"キャリアパス要件Ⅰ・Ⅱ_"&amp;AO15</f>
        <v>キャリアパス要件Ⅰ・Ⅱ_加算対象</v>
      </c>
      <c r="AS15" s="540" t="str">
        <f t="shared" si="2"/>
        <v>入力済</v>
      </c>
      <c r="AT15" s="557" t="str">
        <f t="shared" si="14"/>
        <v>AH列に色付け</v>
      </c>
      <c r="AU15" s="540" t="str">
        <f t="shared" si="3"/>
        <v>入力済</v>
      </c>
      <c r="AV15" s="540" t="str">
        <f t="shared" si="4"/>
        <v>対象</v>
      </c>
      <c r="AW15" s="576" t="str">
        <f t="shared" si="15"/>
        <v>対象</v>
      </c>
      <c r="AX15" s="557" t="str">
        <f t="shared" si="5"/>
        <v/>
      </c>
      <c r="AY15" s="540" t="str">
        <f>IFERROR(VLOOKUP(K15,【参考】数式用!$AR$3:$AS$49, 2, FALSE), "")</f>
        <v>就労継続支援Ｂ型V</v>
      </c>
      <c r="AZ15" s="557" t="str">
        <f t="shared" si="16"/>
        <v>AJ列に色付け</v>
      </c>
      <c r="BA15" s="560" t="str">
        <f t="shared" si="6"/>
        <v>入力済</v>
      </c>
      <c r="BB15" s="540" t="str">
        <f>IFERROR(VLOOKUP(K15,【参考】数式用!$AX$3:$AY$59, 2, FALSE), "")</f>
        <v>就労継続支援Ｂ型R8</v>
      </c>
      <c r="BC15" s="557" t="str">
        <f t="shared" si="17"/>
        <v/>
      </c>
      <c r="BD15" s="560" t="str">
        <f t="shared" si="7"/>
        <v>入力済</v>
      </c>
      <c r="BE15" s="560" t="str">
        <f t="shared" si="18"/>
        <v/>
      </c>
      <c r="BF15" s="560" t="str">
        <f t="shared" si="19"/>
        <v/>
      </c>
      <c r="BG15" s="560" t="str">
        <f t="shared" si="20"/>
        <v/>
      </c>
      <c r="BH15" s="560" t="str">
        <f t="shared" si="8"/>
        <v/>
      </c>
      <c r="BI15" s="560" t="str">
        <f t="shared" si="9"/>
        <v>東京都</v>
      </c>
      <c r="BJ15" s="219"/>
      <c r="BK15" s="27"/>
      <c r="BL15" s="607" t="str">
        <f t="shared" si="21"/>
        <v>O列に色付け</v>
      </c>
      <c r="BM15" s="607" t="str">
        <f t="shared" si="22"/>
        <v/>
      </c>
      <c r="BN15" s="607" t="str">
        <f t="shared" si="23"/>
        <v/>
      </c>
      <c r="BO15" s="608" t="str">
        <f>IF(BM15="","",ROUNDDOWN(L15*VLOOKUP(K15,【参考】数式用!$A$4:$J$42,10,FALSE)*AA15,0))</f>
        <v/>
      </c>
      <c r="BP15" s="607" t="str">
        <f t="shared" si="24"/>
        <v/>
      </c>
      <c r="BQ15" s="607" t="str">
        <f t="shared" si="25"/>
        <v/>
      </c>
      <c r="BR15" s="609" t="str">
        <f t="shared" si="26"/>
        <v/>
      </c>
      <c r="BS15" s="609" t="str">
        <f t="shared" si="27"/>
        <v/>
      </c>
      <c r="BT15" s="607" t="str">
        <f t="shared" si="28"/>
        <v/>
      </c>
      <c r="BU15" s="608" t="str">
        <f>IF(BT15="Ⅱロ有り",ROUNDDOWN(L15*VLOOKUP(K15,【参考】数式用!$A$4:$J$42,10,FALSE)*AA15,0),"")</f>
        <v/>
      </c>
      <c r="BV15" s="607" t="str">
        <f>IF(BT15="Ⅱロなし",ROUNDDOWN(L15*VLOOKUP(K15,【参考】数式用!$A$4:$J$42,8,FALSE)*AA15,0),"")</f>
        <v/>
      </c>
    </row>
    <row r="16" spans="1:74" s="257" customFormat="1" ht="109.9" customHeight="1" thickBot="1">
      <c r="A16" s="303">
        <v>3</v>
      </c>
      <c r="B16" s="956" t="str">
        <f>IF(基本情報入力シート!B38="","",基本情報入力シート!B38)</f>
        <v>1234567902</v>
      </c>
      <c r="C16" s="957"/>
      <c r="D16" s="957"/>
      <c r="E16" s="957"/>
      <c r="F16" s="958"/>
      <c r="G16" s="304" t="str">
        <f>IF(基本情報入力シート!L38="", "", 基本情報入力シート!L38)</f>
        <v>東京都</v>
      </c>
      <c r="H16" s="304" t="str">
        <f>IF(基本情報入力シート!Q38="", "", 基本情報入力シート!Q38)</f>
        <v>東京都</v>
      </c>
      <c r="I16" s="304" t="str">
        <f>IF(基本情報入力シート!V38="", "", 基本情報入力シート!V38)</f>
        <v>小金井市</v>
      </c>
      <c r="J16" s="304" t="str">
        <f>IF(基本情報入力シート!W38="", "", 基本情報入力シート!W38)</f>
        <v>障害福祉事業所名称０４</v>
      </c>
      <c r="K16" s="304" t="str">
        <f>IF(基本情報入力シート!Z38="", "", 基本情報入力シート!Z38)</f>
        <v>自立訓練（生活訓練）</v>
      </c>
      <c r="L16" s="558">
        <f>IF(基本情報入力シート!AF38=0, "",基本情報入力シート!AF38)</f>
        <v>6219600</v>
      </c>
      <c r="M16" s="524" t="str">
        <f>IF('別紙様式2-2（個票（４、５月））'!M16="","",'別紙様式2-2（個票（４、５月））'!M16)</f>
        <v>処遇改善加算Ⅳ</v>
      </c>
      <c r="N16" s="523">
        <f>IF('別紙様式2-2（個票（４、５月））'!N16="","",'別紙様式2-2（個票（４、５月））'!N16)</f>
        <v>0.08</v>
      </c>
      <c r="O16" s="286" t="s">
        <v>196</v>
      </c>
      <c r="P16" s="555">
        <f>IFERROR(VLOOKUP(K16,【参考】数式用!$A$2:$M$57,MATCH(O16,【参考】数式用!$G$3:$M$3,0)+6,0),"")</f>
        <v>0.124</v>
      </c>
      <c r="Q16" s="310" t="s">
        <v>118</v>
      </c>
      <c r="R16" s="308">
        <v>8</v>
      </c>
      <c r="S16" s="309" t="s">
        <v>183</v>
      </c>
      <c r="T16" s="308">
        <v>6</v>
      </c>
      <c r="U16" s="309" t="s">
        <v>184</v>
      </c>
      <c r="V16" s="308">
        <v>9</v>
      </c>
      <c r="W16" s="309" t="s">
        <v>183</v>
      </c>
      <c r="X16" s="308">
        <v>3</v>
      </c>
      <c r="Y16" s="309" t="s">
        <v>185</v>
      </c>
      <c r="Z16" s="309" t="s">
        <v>186</v>
      </c>
      <c r="AA16" s="309">
        <f t="shared" si="29"/>
        <v>10</v>
      </c>
      <c r="AB16" s="305" t="s">
        <v>187</v>
      </c>
      <c r="AC16" s="306">
        <f t="shared" si="10"/>
        <v>7712300</v>
      </c>
      <c r="AD16" s="515">
        <f t="shared" si="11"/>
        <v>2736620</v>
      </c>
      <c r="AE16" s="307">
        <f>IFERROR(ROUNDDOWN(ROUNDDOWN(ROUND(L16*VLOOKUP(K16,【参考】数式用!$A$2:$M$57,MATCH("処遇改善加算Ⅳ",【参考】数式用!$G$3:$M$3,0)+6,0),0),0)*AA16*0.5,0), "")</f>
        <v>3296390</v>
      </c>
      <c r="AF16" s="318" t="s">
        <v>2209</v>
      </c>
      <c r="AG16" s="319" t="s">
        <v>2209</v>
      </c>
      <c r="AH16" s="319" t="s">
        <v>2209</v>
      </c>
      <c r="AI16" s="318"/>
      <c r="AJ16" s="320"/>
      <c r="AK16" s="326"/>
      <c r="AL16" s="324" t="str">
        <f t="shared" si="0"/>
        <v/>
      </c>
      <c r="AM16" s="325" t="str">
        <f t="shared" si="12"/>
        <v/>
      </c>
      <c r="AN16" s="255"/>
      <c r="AO16" s="557" t="str">
        <f>IFERROR(VLOOKUP(K16,【参考】数式用!$A$2:$N$57,14,FALSE),"")</f>
        <v>加算対象</v>
      </c>
      <c r="AP16" s="557" t="str">
        <f t="shared" si="13"/>
        <v>O列に色付け</v>
      </c>
      <c r="AQ16" s="561" t="str">
        <f t="shared" si="1"/>
        <v>入力済</v>
      </c>
      <c r="AR16" s="561" t="str">
        <f t="shared" si="30"/>
        <v>キャリアパス要件Ⅰ・Ⅱ_加算対象</v>
      </c>
      <c r="AS16" s="540" t="str">
        <f t="shared" si="2"/>
        <v>入力済</v>
      </c>
      <c r="AT16" s="557" t="str">
        <f t="shared" si="14"/>
        <v>AH列に色付け</v>
      </c>
      <c r="AU16" s="540" t="str">
        <f t="shared" si="3"/>
        <v>入力済</v>
      </c>
      <c r="AV16" s="540" t="str">
        <f t="shared" si="4"/>
        <v/>
      </c>
      <c r="AW16" s="576" t="str">
        <f t="shared" si="15"/>
        <v/>
      </c>
      <c r="AX16" s="557" t="str">
        <f t="shared" si="5"/>
        <v/>
      </c>
      <c r="AY16" s="540" t="str">
        <f>IFERROR(VLOOKUP(K16,【参考】数式用!$AR$3:$AS$49, 2, FALSE), "")</f>
        <v>自立訓練_生活訓練_V</v>
      </c>
      <c r="AZ16" s="557" t="str">
        <f t="shared" si="16"/>
        <v/>
      </c>
      <c r="BA16" s="560" t="str">
        <f t="shared" si="6"/>
        <v>入力済</v>
      </c>
      <c r="BB16" s="540" t="str">
        <f>IFERROR(VLOOKUP(K16,【参考】数式用!$AX$3:$AY$59, 2, FALSE), "")</f>
        <v>自立訓練_生活訓練_R8</v>
      </c>
      <c r="BC16" s="557" t="str">
        <f t="shared" si="17"/>
        <v/>
      </c>
      <c r="BD16" s="560" t="str">
        <f t="shared" si="7"/>
        <v>入力済</v>
      </c>
      <c r="BE16" s="560" t="str">
        <f t="shared" si="18"/>
        <v/>
      </c>
      <c r="BF16" s="560" t="str">
        <f t="shared" si="19"/>
        <v/>
      </c>
      <c r="BG16" s="560" t="str">
        <f t="shared" si="20"/>
        <v/>
      </c>
      <c r="BH16" s="560" t="str">
        <f t="shared" si="8"/>
        <v/>
      </c>
      <c r="BI16" s="560" t="str">
        <f t="shared" si="9"/>
        <v>東京都</v>
      </c>
      <c r="BJ16" s="219"/>
      <c r="BK16" s="27"/>
      <c r="BL16" s="607" t="str">
        <f t="shared" si="21"/>
        <v>O列に色付け</v>
      </c>
      <c r="BM16" s="607" t="str">
        <f t="shared" si="22"/>
        <v/>
      </c>
      <c r="BN16" s="607" t="str">
        <f t="shared" si="23"/>
        <v/>
      </c>
      <c r="BO16" s="608" t="str">
        <f>IF(BM16="","",ROUNDDOWN(L16*VLOOKUP(K16,【参考】数式用!$A$4:$J$42,10,FALSE)*AA16,0))</f>
        <v/>
      </c>
      <c r="BP16" s="607" t="str">
        <f t="shared" si="24"/>
        <v/>
      </c>
      <c r="BQ16" s="607" t="str">
        <f t="shared" si="25"/>
        <v/>
      </c>
      <c r="BR16" s="609" t="str">
        <f t="shared" si="26"/>
        <v/>
      </c>
      <c r="BS16" s="609" t="str">
        <f t="shared" si="27"/>
        <v/>
      </c>
      <c r="BT16" s="607" t="str">
        <f t="shared" si="28"/>
        <v/>
      </c>
      <c r="BU16" s="608" t="str">
        <f>IF(BT16="Ⅱロ有り",ROUNDDOWN(L16*VLOOKUP(K16,【参考】数式用!$A$4:$J$42,10,FALSE)*AA16,0),"")</f>
        <v/>
      </c>
      <c r="BV16" s="607" t="str">
        <f>IF(BT16="Ⅱロなし",ROUNDDOWN(L16*VLOOKUP(K16,【参考】数式用!$A$4:$J$42,8,FALSE)*AA16,0),"")</f>
        <v/>
      </c>
    </row>
    <row r="17" spans="1:74" s="257" customFormat="1" ht="109.9" customHeight="1" thickBot="1">
      <c r="A17" s="303">
        <v>4</v>
      </c>
      <c r="B17" s="956" t="str">
        <f>IF(基本情報入力シート!B39="","",基本情報入力シート!B39)</f>
        <v>1234567903</v>
      </c>
      <c r="C17" s="957"/>
      <c r="D17" s="957"/>
      <c r="E17" s="957"/>
      <c r="F17" s="958"/>
      <c r="G17" s="304" t="str">
        <f>IF(基本情報入力シート!L39="", "", 基本情報入力シート!L39)</f>
        <v>東京都</v>
      </c>
      <c r="H17" s="304" t="str">
        <f>IF(基本情報入力シート!Q39="", "", 基本情報入力シート!Q39)</f>
        <v>東京都</v>
      </c>
      <c r="I17" s="304" t="str">
        <f>IF(基本情報入力シート!V39="", "", 基本情報入力シート!V39)</f>
        <v>国分寺市</v>
      </c>
      <c r="J17" s="304" t="str">
        <f>IF(基本情報入力シート!W39="", "", 基本情報入力シート!W39)</f>
        <v>障害福祉事業所名称０５</v>
      </c>
      <c r="K17" s="304" t="str">
        <f>IF(基本情報入力シート!Z39="", "", 基本情報入力シート!Z39)</f>
        <v>療養介護</v>
      </c>
      <c r="L17" s="558">
        <f>IF(基本情報入力シート!AF39=0, "",基本情報入力シート!AF39)</f>
        <v>10642600</v>
      </c>
      <c r="M17" s="524" t="str">
        <f>IF('別紙様式2-2（個票（４、５月））'!M17="","",'別紙様式2-2（個票（４、５月））'!M17)</f>
        <v>処遇改善加算Ⅲ</v>
      </c>
      <c r="N17" s="523">
        <f>IF('別紙様式2-2（個票（４、５月））'!N17="","",'別紙様式2-2（個票（４、５月））'!N17)</f>
        <v>0.11599999999999999</v>
      </c>
      <c r="O17" s="286" t="s">
        <v>2413</v>
      </c>
      <c r="P17" s="555">
        <f>IFERROR(VLOOKUP(K17,【参考】数式用!$A$2:$M$57,MATCH(O17,【参考】数式用!$G$3:$M$3,0)+6,0),"")</f>
        <v>0.16200000000000001</v>
      </c>
      <c r="Q17" s="310" t="s">
        <v>118</v>
      </c>
      <c r="R17" s="308">
        <v>8</v>
      </c>
      <c r="S17" s="309" t="s">
        <v>183</v>
      </c>
      <c r="T17" s="308">
        <v>6</v>
      </c>
      <c r="U17" s="309" t="s">
        <v>184</v>
      </c>
      <c r="V17" s="308">
        <v>9</v>
      </c>
      <c r="W17" s="309" t="s">
        <v>183</v>
      </c>
      <c r="X17" s="308">
        <v>3</v>
      </c>
      <c r="Y17" s="309" t="s">
        <v>120</v>
      </c>
      <c r="Z17" s="309" t="s">
        <v>186</v>
      </c>
      <c r="AA17" s="309">
        <f t="shared" si="29"/>
        <v>10</v>
      </c>
      <c r="AB17" s="305" t="s">
        <v>187</v>
      </c>
      <c r="AC17" s="306">
        <f t="shared" si="10"/>
        <v>17241010</v>
      </c>
      <c r="AD17" s="515">
        <f t="shared" si="11"/>
        <v>4895600</v>
      </c>
      <c r="AE17" s="307">
        <f>IFERROR(ROUNDDOWN(ROUNDDOWN(ROUND(L17*VLOOKUP(K17,【参考】数式用!$A$2:$M$57,MATCH("処遇改善加算Ⅳ",【参考】数式用!$G$3:$M$3,0)+6,0),0),0)*AA17*0.5,0), "")</f>
        <v>6704840</v>
      </c>
      <c r="AF17" s="318" t="s">
        <v>2209</v>
      </c>
      <c r="AG17" s="319" t="s">
        <v>189</v>
      </c>
      <c r="AH17" s="319" t="s">
        <v>2209</v>
      </c>
      <c r="AI17" s="318" t="s">
        <v>2209</v>
      </c>
      <c r="AJ17" s="320"/>
      <c r="AK17" s="326" t="s">
        <v>2508</v>
      </c>
      <c r="AL17" s="324" t="str">
        <f t="shared" si="0"/>
        <v/>
      </c>
      <c r="AM17" s="325" t="str">
        <f t="shared" si="12"/>
        <v/>
      </c>
      <c r="AN17" s="255"/>
      <c r="AO17" s="557" t="str">
        <f>IFERROR(VLOOKUP(K17,【参考】数式用!$A$2:$N$57,14,FALSE),"")</f>
        <v>加算対象</v>
      </c>
      <c r="AP17" s="557" t="str">
        <f t="shared" si="13"/>
        <v>O列に色付け</v>
      </c>
      <c r="AQ17" s="561" t="str">
        <f t="shared" si="1"/>
        <v>入力済</v>
      </c>
      <c r="AR17" s="561" t="str">
        <f t="shared" si="30"/>
        <v>キャリアパス要件Ⅰ・Ⅱ_加算対象</v>
      </c>
      <c r="AS17" s="540" t="str">
        <f t="shared" si="2"/>
        <v>入力済</v>
      </c>
      <c r="AT17" s="557" t="str">
        <f t="shared" si="14"/>
        <v>AH列に色付け</v>
      </c>
      <c r="AU17" s="540" t="str">
        <f t="shared" si="3"/>
        <v>入力済</v>
      </c>
      <c r="AV17" s="540" t="str">
        <f t="shared" si="4"/>
        <v>対象</v>
      </c>
      <c r="AW17" s="576" t="str">
        <f t="shared" si="15"/>
        <v>対象</v>
      </c>
      <c r="AX17" s="557" t="str">
        <f t="shared" si="5"/>
        <v/>
      </c>
      <c r="AY17" s="540" t="str">
        <f>IFERROR(VLOOKUP(K17,【参考】数式用!$AR$3:$AS$49, 2, FALSE), "")</f>
        <v>療養介護V</v>
      </c>
      <c r="AZ17" s="557" t="str">
        <f t="shared" si="16"/>
        <v/>
      </c>
      <c r="BA17" s="560" t="str">
        <f t="shared" si="6"/>
        <v>入力済</v>
      </c>
      <c r="BB17" s="540" t="str">
        <f>IFERROR(VLOOKUP(K17,【参考】数式用!$AX$3:$AY$59, 2, FALSE), "")</f>
        <v>療養介護R8</v>
      </c>
      <c r="BC17" s="557" t="str">
        <f t="shared" si="17"/>
        <v>AK列に色付け</v>
      </c>
      <c r="BD17" s="560" t="str">
        <f t="shared" si="7"/>
        <v>入力済</v>
      </c>
      <c r="BE17" s="560" t="str">
        <f t="shared" si="18"/>
        <v/>
      </c>
      <c r="BF17" s="560" t="str">
        <f t="shared" si="19"/>
        <v/>
      </c>
      <c r="BG17" s="560" t="str">
        <f t="shared" si="20"/>
        <v>入力必要</v>
      </c>
      <c r="BH17" s="560" t="str">
        <f t="shared" si="8"/>
        <v>入力済</v>
      </c>
      <c r="BI17" s="560" t="str">
        <f t="shared" si="9"/>
        <v>東京都</v>
      </c>
      <c r="BJ17" s="219"/>
      <c r="BK17" s="27"/>
      <c r="BL17" s="607" t="str">
        <f t="shared" si="21"/>
        <v>O列に色付け</v>
      </c>
      <c r="BM17" s="607" t="str">
        <f t="shared" si="22"/>
        <v/>
      </c>
      <c r="BN17" s="607" t="str">
        <f t="shared" si="23"/>
        <v/>
      </c>
      <c r="BO17" s="608" t="str">
        <f>IF(BM17="","",ROUNDDOWN(L17*VLOOKUP(K17,【参考】数式用!$A$4:$J$42,10,FALSE)*AA17,0))</f>
        <v/>
      </c>
      <c r="BP17" s="607" t="str">
        <f t="shared" si="24"/>
        <v/>
      </c>
      <c r="BQ17" s="607" t="str">
        <f t="shared" si="25"/>
        <v/>
      </c>
      <c r="BR17" s="609" t="str">
        <f t="shared" si="26"/>
        <v/>
      </c>
      <c r="BS17" s="609" t="str">
        <f t="shared" si="27"/>
        <v>特例要件</v>
      </c>
      <c r="BT17" s="607" t="str">
        <f t="shared" si="28"/>
        <v>Ⅱロ有り</v>
      </c>
      <c r="BU17" s="608">
        <f>IF(BT17="Ⅱロ有り",ROUNDDOWN(L17*VLOOKUP(K17,【参考】数式用!$A$4:$J$42,10,FALSE)*AA17,0),"")</f>
        <v>17985994</v>
      </c>
      <c r="BV17" s="607" t="str">
        <f>IF(BT17="Ⅱロなし",ROUNDDOWN(L17*VLOOKUP(K17,【参考】数式用!$A$4:$J$42,8,FALSE)*AA17,0),"")</f>
        <v/>
      </c>
    </row>
    <row r="18" spans="1:74" s="257" customFormat="1" ht="109.9" customHeight="1" thickBot="1">
      <c r="A18" s="303">
        <v>5</v>
      </c>
      <c r="B18" s="956" t="str">
        <f>IF(基本情報入力シート!B40="","",基本情報入力シート!B40)</f>
        <v>1234567904</v>
      </c>
      <c r="C18" s="957"/>
      <c r="D18" s="957"/>
      <c r="E18" s="957"/>
      <c r="F18" s="958"/>
      <c r="G18" s="304" t="str">
        <f>IF(基本情報入力シート!L40="", "", 基本情報入力シート!L40)</f>
        <v>東京都</v>
      </c>
      <c r="H18" s="304" t="str">
        <f>IF(基本情報入力シート!Q40="", "", 基本情報入力シート!Q40)</f>
        <v>東京都</v>
      </c>
      <c r="I18" s="304" t="str">
        <f>IF(基本情報入力シート!V40="", "", 基本情報入力シート!V40)</f>
        <v>杉並区</v>
      </c>
      <c r="J18" s="304" t="str">
        <f>IF(基本情報入力シート!W40="", "", 基本情報入力シート!W40)</f>
        <v>障害福祉事業所名称０６</v>
      </c>
      <c r="K18" s="304" t="str">
        <f>IF(基本情報入力シート!Z40="", "", 基本情報入力シート!Z40)</f>
        <v>計画相談支援</v>
      </c>
      <c r="L18" s="558">
        <f>IF(基本情報入力シート!AF40=0, "",基本情報入力シート!AF40)</f>
        <v>474500</v>
      </c>
      <c r="M18" s="524" t="str">
        <f>IF('別紙様式2-2（個票（４、５月））'!M18="","",'別紙様式2-2（個票（４、５月））'!M18)</f>
        <v/>
      </c>
      <c r="N18" s="523" t="str">
        <f>IF('別紙様式2-2（個票（４、５月））'!N18="","",'別紙様式2-2（個票（４、５月））'!N18)</f>
        <v/>
      </c>
      <c r="O18" s="286" t="s">
        <v>197</v>
      </c>
      <c r="P18" s="555">
        <f>IFERROR(VLOOKUP(K18,【参考】数式用!$A$2:$M$57,MATCH(O18,【参考】数式用!$G$3:$M$3,0)+6,0),"")</f>
        <v>5.0999999999999997E-2</v>
      </c>
      <c r="Q18" s="310" t="s">
        <v>118</v>
      </c>
      <c r="R18" s="308">
        <v>8</v>
      </c>
      <c r="S18" s="309" t="s">
        <v>183</v>
      </c>
      <c r="T18" s="308">
        <v>6</v>
      </c>
      <c r="U18" s="309" t="s">
        <v>184</v>
      </c>
      <c r="V18" s="308">
        <v>9</v>
      </c>
      <c r="W18" s="309" t="s">
        <v>183</v>
      </c>
      <c r="X18" s="308">
        <v>3</v>
      </c>
      <c r="Y18" s="309" t="s">
        <v>120</v>
      </c>
      <c r="Z18" s="309" t="s">
        <v>186</v>
      </c>
      <c r="AA18" s="309">
        <f t="shared" si="29"/>
        <v>10</v>
      </c>
      <c r="AB18" s="305" t="s">
        <v>187</v>
      </c>
      <c r="AC18" s="306">
        <f t="shared" si="10"/>
        <v>242000</v>
      </c>
      <c r="AD18" s="515" t="str">
        <f t="shared" si="11"/>
        <v/>
      </c>
      <c r="AE18" s="307">
        <f>IFERROR(ROUNDDOWN(ROUNDDOWN(ROUND(L18*VLOOKUP(K18,【参考】数式用!$A$2:$M$57,MATCH("処遇改善加算Ⅳ",【参考】数式用!$G$3:$M$3,0)+6,0),0),0)*AA18*0.5,0), "")</f>
        <v>0</v>
      </c>
      <c r="AF18" s="318"/>
      <c r="AG18" s="319" t="s">
        <v>2529</v>
      </c>
      <c r="AH18" s="319"/>
      <c r="AI18" s="318"/>
      <c r="AJ18" s="320"/>
      <c r="AK18" s="326" t="s">
        <v>2389</v>
      </c>
      <c r="AL18" s="324" t="str">
        <f t="shared" si="0"/>
        <v/>
      </c>
      <c r="AM18" s="325" t="str">
        <f t="shared" si="12"/>
        <v/>
      </c>
      <c r="AN18" s="255"/>
      <c r="AO18" s="557" t="str">
        <f>IFERROR(VLOOKUP(K18,【参考】数式用!$A$2:$N$57,14,FALSE),"")</f>
        <v>加算対象外</v>
      </c>
      <c r="AP18" s="557" t="str">
        <f t="shared" si="13"/>
        <v>O列に色付け</v>
      </c>
      <c r="AQ18" s="561" t="str">
        <f t="shared" si="1"/>
        <v/>
      </c>
      <c r="AR18" s="561" t="str">
        <f t="shared" si="30"/>
        <v>キャリアパス要件Ⅰ・Ⅱ_加算対象外</v>
      </c>
      <c r="AS18" s="540" t="str">
        <f t="shared" si="2"/>
        <v>入力済</v>
      </c>
      <c r="AT18" s="557" t="str">
        <f t="shared" si="14"/>
        <v/>
      </c>
      <c r="AU18" s="540" t="str">
        <f t="shared" si="3"/>
        <v>入力済</v>
      </c>
      <c r="AV18" s="540" t="str">
        <f t="shared" si="4"/>
        <v/>
      </c>
      <c r="AW18" s="576" t="str">
        <f t="shared" si="15"/>
        <v/>
      </c>
      <c r="AX18" s="557" t="str">
        <f t="shared" si="5"/>
        <v/>
      </c>
      <c r="AY18" s="540" t="str">
        <f>IFERROR(VLOOKUP(K18,【参考】数式用!$AR$3:$AS$49, 2, FALSE), "")</f>
        <v/>
      </c>
      <c r="AZ18" s="557" t="str">
        <f t="shared" si="16"/>
        <v/>
      </c>
      <c r="BA18" s="560" t="str">
        <f t="shared" si="6"/>
        <v>入力済</v>
      </c>
      <c r="BB18" s="540" t="str">
        <f>IFERROR(VLOOKUP(K18,【参考】数式用!$AX$3:$AY$59, 2, FALSE), "")</f>
        <v>計画相談支援R8</v>
      </c>
      <c r="BC18" s="557" t="str">
        <f t="shared" si="17"/>
        <v>AK列に色付け</v>
      </c>
      <c r="BD18" s="560" t="str">
        <f t="shared" si="7"/>
        <v>入力済</v>
      </c>
      <c r="BE18" s="560" t="str">
        <f t="shared" si="18"/>
        <v/>
      </c>
      <c r="BF18" s="560" t="str">
        <f t="shared" si="19"/>
        <v/>
      </c>
      <c r="BG18" s="560" t="str">
        <f t="shared" si="20"/>
        <v>入力必要</v>
      </c>
      <c r="BH18" s="560" t="str">
        <f t="shared" si="8"/>
        <v>入力済</v>
      </c>
      <c r="BI18" s="560" t="str">
        <f t="shared" si="9"/>
        <v>東京都</v>
      </c>
      <c r="BK18" s="610"/>
      <c r="BL18" s="607" t="str">
        <f t="shared" si="21"/>
        <v/>
      </c>
      <c r="BM18" s="607" t="str">
        <f t="shared" si="22"/>
        <v/>
      </c>
      <c r="BN18" s="607" t="str">
        <f t="shared" si="23"/>
        <v/>
      </c>
      <c r="BO18" s="608" t="str">
        <f>IF(BM18="","",ROUNDDOWN(L18*VLOOKUP(K18,【参考】数式用!$A$4:$J$42,10,FALSE)*AA18,0))</f>
        <v/>
      </c>
      <c r="BP18" s="607" t="str">
        <f t="shared" si="24"/>
        <v/>
      </c>
      <c r="BQ18" s="607" t="str">
        <f t="shared" si="25"/>
        <v>対象</v>
      </c>
      <c r="BR18" s="609" t="str">
        <f t="shared" si="26"/>
        <v/>
      </c>
      <c r="BS18" s="609" t="str">
        <f t="shared" si="27"/>
        <v/>
      </c>
      <c r="BT18" s="607" t="str">
        <f t="shared" si="28"/>
        <v/>
      </c>
      <c r="BU18" s="608" t="str">
        <f>IF(BT18="Ⅱロ有り",ROUNDDOWN(L18*VLOOKUP(K18,【参考】数式用!$A$4:$J$42,10,FALSE)*AA18,0),"")</f>
        <v/>
      </c>
      <c r="BV18" s="607" t="str">
        <f>IF(BT18="Ⅱロなし",ROUNDDOWN(L18*VLOOKUP(K18,【参考】数式用!$A$4:$J$42,8,FALSE)*AA18,0),"")</f>
        <v/>
      </c>
    </row>
    <row r="19" spans="1:74" s="257" customFormat="1" ht="109.9" customHeight="1" thickBot="1">
      <c r="A19" s="303">
        <v>6</v>
      </c>
      <c r="B19" s="956" t="str">
        <f>IF(基本情報入力シート!B41="","",基本情報入力シート!B41)</f>
        <v>1234567905</v>
      </c>
      <c r="C19" s="957"/>
      <c r="D19" s="957"/>
      <c r="E19" s="957"/>
      <c r="F19" s="958"/>
      <c r="G19" s="304" t="str">
        <f>IF(基本情報入力シート!L41="", "", 基本情報入力シート!L41)</f>
        <v>東京都</v>
      </c>
      <c r="H19" s="304" t="str">
        <f>IF(基本情報入力シート!Q41="", "", 基本情報入力シート!Q41)</f>
        <v>東京都</v>
      </c>
      <c r="I19" s="304" t="str">
        <f>IF(基本情報入力シート!V41="", "", 基本情報入力シート!V41)</f>
        <v>中野区</v>
      </c>
      <c r="J19" s="304" t="str">
        <f>IF(基本情報入力シート!W41="", "", 基本情報入力シート!W41)</f>
        <v>障害福祉事業所名称０７</v>
      </c>
      <c r="K19" s="304" t="str">
        <f>IF(基本情報入力シート!Z41="", "", 基本情報入力シート!Z41)</f>
        <v>地域相談支援（地域移行支援）</v>
      </c>
      <c r="L19" s="558">
        <f>IF(基本情報入力シート!AF41=0, "",基本情報入力シート!AF41)</f>
        <v>379600</v>
      </c>
      <c r="M19" s="524" t="str">
        <f>IF('別紙様式2-2（個票（４、５月））'!M19="","",'別紙様式2-2（個票（４、５月））'!M19)</f>
        <v/>
      </c>
      <c r="N19" s="523" t="str">
        <f>IF('別紙様式2-2（個票（４、５月））'!N19="","",'別紙様式2-2（個票（４、５月））'!N19)</f>
        <v/>
      </c>
      <c r="O19" s="286" t="s">
        <v>197</v>
      </c>
      <c r="P19" s="555">
        <f>IFERROR(VLOOKUP(K19,【参考】数式用!$A$2:$M$57,MATCH(O19,【参考】数式用!$G$3:$M$3,0)+6,0),"")</f>
        <v>5.0999999999999997E-2</v>
      </c>
      <c r="Q19" s="310" t="s">
        <v>118</v>
      </c>
      <c r="R19" s="308">
        <v>8</v>
      </c>
      <c r="S19" s="309" t="s">
        <v>183</v>
      </c>
      <c r="T19" s="308">
        <v>6</v>
      </c>
      <c r="U19" s="309" t="s">
        <v>184</v>
      </c>
      <c r="V19" s="308">
        <v>9</v>
      </c>
      <c r="W19" s="309" t="s">
        <v>183</v>
      </c>
      <c r="X19" s="308">
        <v>3</v>
      </c>
      <c r="Y19" s="309" t="s">
        <v>185</v>
      </c>
      <c r="Z19" s="309" t="s">
        <v>186</v>
      </c>
      <c r="AA19" s="309">
        <f t="shared" si="29"/>
        <v>10</v>
      </c>
      <c r="AB19" s="305" t="s">
        <v>187</v>
      </c>
      <c r="AC19" s="306">
        <f t="shared" si="10"/>
        <v>193600</v>
      </c>
      <c r="AD19" s="515" t="str">
        <f t="shared" si="11"/>
        <v/>
      </c>
      <c r="AE19" s="307">
        <f>IFERROR(ROUNDDOWN(ROUNDDOWN(ROUND(L19*VLOOKUP(K19,【参考】数式用!$A$2:$M$57,MATCH("処遇改善加算Ⅳ",【参考】数式用!$G$3:$M$3,0)+6,0),0),0)*AA19*0.5,0), "")</f>
        <v>0</v>
      </c>
      <c r="AF19" s="318"/>
      <c r="AG19" s="319" t="s">
        <v>267</v>
      </c>
      <c r="AH19" s="319"/>
      <c r="AI19" s="318"/>
      <c r="AJ19" s="320"/>
      <c r="AK19" s="326"/>
      <c r="AL19" s="324" t="str">
        <f t="shared" si="0"/>
        <v/>
      </c>
      <c r="AM19" s="325" t="str">
        <f t="shared" si="12"/>
        <v/>
      </c>
      <c r="AN19" s="255"/>
      <c r="AO19" s="557" t="str">
        <f>IFERROR(VLOOKUP(K19,【参考】数式用!$A$2:$N$57,14,FALSE),"")</f>
        <v>加算対象外</v>
      </c>
      <c r="AP19" s="557" t="str">
        <f t="shared" si="13"/>
        <v>O列に色付け</v>
      </c>
      <c r="AQ19" s="561" t="str">
        <f t="shared" si="1"/>
        <v/>
      </c>
      <c r="AR19" s="561" t="str">
        <f t="shared" si="30"/>
        <v>キャリアパス要件Ⅰ・Ⅱ_加算対象外</v>
      </c>
      <c r="AS19" s="540" t="str">
        <f t="shared" si="2"/>
        <v>入力済</v>
      </c>
      <c r="AT19" s="557" t="str">
        <f t="shared" si="14"/>
        <v/>
      </c>
      <c r="AU19" s="540" t="str">
        <f t="shared" si="3"/>
        <v>入力済</v>
      </c>
      <c r="AV19" s="540" t="str">
        <f t="shared" si="4"/>
        <v/>
      </c>
      <c r="AW19" s="576" t="str">
        <f t="shared" si="15"/>
        <v/>
      </c>
      <c r="AX19" s="557" t="str">
        <f t="shared" si="5"/>
        <v/>
      </c>
      <c r="AY19" s="540" t="str">
        <f>IFERROR(VLOOKUP(K19,【参考】数式用!$AR$3:$AS$49, 2, FALSE), "")</f>
        <v/>
      </c>
      <c r="AZ19" s="557" t="str">
        <f t="shared" si="16"/>
        <v/>
      </c>
      <c r="BA19" s="560" t="str">
        <f t="shared" si="6"/>
        <v>入力済</v>
      </c>
      <c r="BB19" s="540" t="str">
        <f>IFERROR(VLOOKUP(K19,【参考】数式用!$AX$3:$AY$59, 2, FALSE), "")</f>
        <v>地域相談支援_地域移行支援_R8</v>
      </c>
      <c r="BC19" s="557" t="str">
        <f t="shared" si="17"/>
        <v>AK列に色付け</v>
      </c>
      <c r="BD19" s="560" t="str">
        <f t="shared" si="7"/>
        <v>入力済</v>
      </c>
      <c r="BE19" s="560" t="str">
        <f t="shared" si="18"/>
        <v/>
      </c>
      <c r="BF19" s="560" t="str">
        <f t="shared" si="19"/>
        <v>AK列色消し</v>
      </c>
      <c r="BG19" s="560" t="str">
        <f t="shared" si="20"/>
        <v/>
      </c>
      <c r="BH19" s="560" t="str">
        <f t="shared" si="8"/>
        <v/>
      </c>
      <c r="BI19" s="560" t="str">
        <f t="shared" si="9"/>
        <v>東京都</v>
      </c>
      <c r="BK19" s="610"/>
      <c r="BL19" s="607" t="str">
        <f t="shared" si="21"/>
        <v/>
      </c>
      <c r="BM19" s="607" t="str">
        <f t="shared" si="22"/>
        <v/>
      </c>
      <c r="BN19" s="607" t="str">
        <f t="shared" si="23"/>
        <v/>
      </c>
      <c r="BO19" s="608" t="str">
        <f>IF(BM19="","",ROUNDDOWN(L19*VLOOKUP(K19,【参考】数式用!$A$4:$J$42,10,FALSE)*AA19,0))</f>
        <v/>
      </c>
      <c r="BP19" s="607" t="str">
        <f t="shared" si="24"/>
        <v/>
      </c>
      <c r="BQ19" s="607" t="str">
        <f t="shared" si="25"/>
        <v>対象</v>
      </c>
      <c r="BR19" s="609" t="str">
        <f t="shared" si="26"/>
        <v>対象</v>
      </c>
      <c r="BS19" s="609" t="str">
        <f t="shared" si="27"/>
        <v/>
      </c>
      <c r="BT19" s="607" t="str">
        <f t="shared" si="28"/>
        <v/>
      </c>
      <c r="BU19" s="608" t="str">
        <f>IF(BT19="Ⅱロ有り",ROUNDDOWN(L19*VLOOKUP(K19,【参考】数式用!$A$4:$J$42,10,FALSE)*AA19,0),"")</f>
        <v/>
      </c>
      <c r="BV19" s="607" t="str">
        <f>IF(BT19="Ⅱロなし",ROUNDDOWN(L19*VLOOKUP(K19,【参考】数式用!$A$4:$J$42,8,FALSE)*AA19,0),"")</f>
        <v/>
      </c>
    </row>
    <row r="20" spans="1:74" s="257" customFormat="1" ht="109.9" customHeight="1" thickBot="1">
      <c r="A20" s="303">
        <v>7</v>
      </c>
      <c r="B20" s="959" t="str">
        <f>IF(基本情報入力シート!B42="","",基本情報入力シート!B42)</f>
        <v>1234567906</v>
      </c>
      <c r="C20" s="960"/>
      <c r="D20" s="960"/>
      <c r="E20" s="960"/>
      <c r="F20" s="961"/>
      <c r="G20" s="304" t="str">
        <f>IF(基本情報入力シート!L42="", "", 基本情報入力シート!L42)</f>
        <v>東京都</v>
      </c>
      <c r="H20" s="304" t="str">
        <f>IF(基本情報入力シート!Q42="", "", 基本情報入力シート!Q42)</f>
        <v>東京都</v>
      </c>
      <c r="I20" s="304" t="str">
        <f>IF(基本情報入力シート!V42="", "", 基本情報入力シート!V42)</f>
        <v>新宿区</v>
      </c>
      <c r="J20" s="304" t="str">
        <f>IF(基本情報入力シート!W42="", "", 基本情報入力シート!W42)</f>
        <v>障害福祉事業所名称０８</v>
      </c>
      <c r="K20" s="304" t="str">
        <f>IF(基本情報入力シート!Z42="", "", 基本情報入力シート!Z42)</f>
        <v>障害者支援施設：生活介護</v>
      </c>
      <c r="L20" s="558">
        <f>IF(基本情報入力シート!AF42=0, "",基本情報入力シート!AF42)</f>
        <v>480000</v>
      </c>
      <c r="M20" s="524" t="str">
        <f>IF('別紙様式2-2（個票（４、５月））'!M20="","",'別紙様式2-2（個票（４、５月））'!M20)</f>
        <v>処遇改善加算Ⅲ</v>
      </c>
      <c r="N20" s="523">
        <f>IF('別紙様式2-2（個票（４、５月））'!N20="","",'別紙様式2-2（個票（４、５月））'!N20)</f>
        <v>8.4000000000000005E-2</v>
      </c>
      <c r="O20" s="286" t="s">
        <v>196</v>
      </c>
      <c r="P20" s="555">
        <f>IFERROR(VLOOKUP(K20,【参考】数式用!$A$2:$M$57,MATCH(O20,【参考】数式用!$G$3:$M$3,0)+6,0),"")</f>
        <v>9.6000000000000002E-2</v>
      </c>
      <c r="Q20" s="310" t="s">
        <v>118</v>
      </c>
      <c r="R20" s="308">
        <v>8</v>
      </c>
      <c r="S20" s="309" t="s">
        <v>183</v>
      </c>
      <c r="T20" s="308">
        <v>6</v>
      </c>
      <c r="U20" s="309" t="s">
        <v>184</v>
      </c>
      <c r="V20" s="308">
        <v>9</v>
      </c>
      <c r="W20" s="309" t="s">
        <v>183</v>
      </c>
      <c r="X20" s="308">
        <v>3</v>
      </c>
      <c r="Y20" s="309" t="s">
        <v>185</v>
      </c>
      <c r="Z20" s="309" t="s">
        <v>186</v>
      </c>
      <c r="AA20" s="309">
        <f t="shared" si="29"/>
        <v>10</v>
      </c>
      <c r="AB20" s="305" t="s">
        <v>187</v>
      </c>
      <c r="AC20" s="306">
        <f t="shared" si="10"/>
        <v>460800</v>
      </c>
      <c r="AD20" s="515">
        <f t="shared" si="11"/>
        <v>57600</v>
      </c>
      <c r="AE20" s="307">
        <f>IFERROR(ROUNDDOWN(ROUNDDOWN(ROUND(L20*VLOOKUP(K20,【参考】数式用!$A$2:$M$57,MATCH("処遇改善加算Ⅳ",【参考】数式用!$G$3:$M$3,0)+6,0),0),0)*AA20*0.5,0), "")</f>
        <v>189600</v>
      </c>
      <c r="AF20" s="318" t="s">
        <v>2209</v>
      </c>
      <c r="AG20" s="319" t="s">
        <v>2209</v>
      </c>
      <c r="AH20" s="319" t="s">
        <v>2209</v>
      </c>
      <c r="AI20" s="318"/>
      <c r="AJ20" s="320"/>
      <c r="AK20" s="326"/>
      <c r="AL20" s="324" t="str">
        <f t="shared" si="0"/>
        <v/>
      </c>
      <c r="AM20" s="325" t="str">
        <f t="shared" si="12"/>
        <v/>
      </c>
      <c r="AN20" s="255"/>
      <c r="AO20" s="557" t="str">
        <f>IFERROR(VLOOKUP(K20,【参考】数式用!$A$2:$N$57,14,FALSE),"")</f>
        <v>加算対象</v>
      </c>
      <c r="AP20" s="557" t="str">
        <f t="shared" si="13"/>
        <v>O列に色付け</v>
      </c>
      <c r="AQ20" s="561" t="str">
        <f t="shared" si="1"/>
        <v>入力済</v>
      </c>
      <c r="AR20" s="561" t="str">
        <f t="shared" si="30"/>
        <v>キャリアパス要件Ⅰ・Ⅱ_加算対象</v>
      </c>
      <c r="AS20" s="540" t="str">
        <f t="shared" si="2"/>
        <v>入力済</v>
      </c>
      <c r="AT20" s="557" t="str">
        <f t="shared" si="14"/>
        <v>AH列に色付け</v>
      </c>
      <c r="AU20" s="540" t="str">
        <f t="shared" si="3"/>
        <v>入力済</v>
      </c>
      <c r="AV20" s="540" t="str">
        <f t="shared" si="4"/>
        <v/>
      </c>
      <c r="AW20" s="576" t="str">
        <f t="shared" si="15"/>
        <v/>
      </c>
      <c r="AX20" s="557" t="str">
        <f t="shared" si="5"/>
        <v/>
      </c>
      <c r="AY20" s="540" t="str">
        <f>IFERROR(VLOOKUP(K20,【参考】数式用!$AR$3:$AS$49, 2, FALSE), "")</f>
        <v>障害者支援施設_生活介護V</v>
      </c>
      <c r="AZ20" s="557" t="str">
        <f t="shared" si="16"/>
        <v/>
      </c>
      <c r="BA20" s="560" t="str">
        <f t="shared" si="6"/>
        <v>入力済</v>
      </c>
      <c r="BB20" s="540" t="str">
        <f>IFERROR(VLOOKUP(K20,【参考】数式用!$AX$3:$AY$59, 2, FALSE), "")</f>
        <v>障害者支援施設_生活介護R8</v>
      </c>
      <c r="BC20" s="557" t="str">
        <f t="shared" si="17"/>
        <v/>
      </c>
      <c r="BD20" s="560" t="str">
        <f t="shared" si="7"/>
        <v>入力済</v>
      </c>
      <c r="BE20" s="560" t="str">
        <f t="shared" si="18"/>
        <v/>
      </c>
      <c r="BF20" s="560" t="str">
        <f t="shared" si="19"/>
        <v/>
      </c>
      <c r="BG20" s="560" t="str">
        <f t="shared" si="20"/>
        <v/>
      </c>
      <c r="BH20" s="560" t="str">
        <f t="shared" si="8"/>
        <v/>
      </c>
      <c r="BI20" s="560" t="str">
        <f t="shared" si="9"/>
        <v>東京都</v>
      </c>
      <c r="BK20" s="610"/>
      <c r="BL20" s="607" t="str">
        <f t="shared" si="21"/>
        <v>O列に色付け</v>
      </c>
      <c r="BM20" s="607" t="str">
        <f t="shared" si="22"/>
        <v/>
      </c>
      <c r="BN20" s="607" t="str">
        <f t="shared" si="23"/>
        <v/>
      </c>
      <c r="BO20" s="608" t="str">
        <f>IF(BM20="","",ROUNDDOWN(L20*VLOOKUP(K20,【参考】数式用!$A$4:$J$42,10,FALSE)*AA20,0))</f>
        <v/>
      </c>
      <c r="BP20" s="607" t="str">
        <f t="shared" si="24"/>
        <v/>
      </c>
      <c r="BQ20" s="607" t="str">
        <f t="shared" si="25"/>
        <v/>
      </c>
      <c r="BR20" s="609" t="str">
        <f t="shared" si="26"/>
        <v/>
      </c>
      <c r="BS20" s="609" t="str">
        <f t="shared" si="27"/>
        <v/>
      </c>
      <c r="BT20" s="607" t="str">
        <f t="shared" si="28"/>
        <v/>
      </c>
      <c r="BU20" s="608" t="str">
        <f>IF(BT20="Ⅱロ有り",ROUNDDOWN(L20*VLOOKUP(K20,【参考】数式用!$A$4:$J$42,10,FALSE)*AA20,0),"")</f>
        <v/>
      </c>
      <c r="BV20" s="607" t="str">
        <f>IF(BT20="Ⅱロなし",ROUNDDOWN(L20*VLOOKUP(K20,【参考】数式用!$A$4:$J$42,8,FALSE)*AA20,0),"")</f>
        <v/>
      </c>
    </row>
    <row r="21" spans="1:74" s="257" customFormat="1" ht="109.9" customHeight="1" thickBot="1">
      <c r="A21" s="303">
        <v>8</v>
      </c>
      <c r="B21" s="956" t="str">
        <f>IF(基本情報入力シート!B43="","",基本情報入力シート!B43)</f>
        <v/>
      </c>
      <c r="C21" s="957"/>
      <c r="D21" s="957"/>
      <c r="E21" s="957"/>
      <c r="F21" s="958"/>
      <c r="G21" s="304" t="str">
        <f>IF(基本情報入力シート!L43="", "", 基本情報入力シート!L43)</f>
        <v/>
      </c>
      <c r="H21" s="304" t="str">
        <f>IF(基本情報入力シート!Q43="", "", 基本情報入力シート!Q43)</f>
        <v/>
      </c>
      <c r="I21" s="304" t="str">
        <f>IF(基本情報入力シート!V43="", "", 基本情報入力シート!V43)</f>
        <v/>
      </c>
      <c r="J21" s="304" t="str">
        <f>IF(基本情報入力シート!W43="", "", 基本情報入力シート!W43)</f>
        <v/>
      </c>
      <c r="K21" s="304" t="str">
        <f>IF(基本情報入力シート!Z43="", "", 基本情報入力シート!Z43)</f>
        <v/>
      </c>
      <c r="L21" s="558" t="str">
        <f>IF(基本情報入力シート!AF43=0, "",基本情報入力シート!AF43)</f>
        <v/>
      </c>
      <c r="M21" s="524" t="str">
        <f>IF('別紙様式2-2（個票（４、５月））'!M21="","",'別紙様式2-2（個票（４、５月））'!M21)</f>
        <v/>
      </c>
      <c r="N21" s="523" t="str">
        <f>IF('別紙様式2-2（個票（４、５月））'!N21="","",'別紙様式2-2（個票（４、５月））'!N21)</f>
        <v/>
      </c>
      <c r="O21" s="286"/>
      <c r="P21" s="555" t="str">
        <f>IFERROR(VLOOKUP(K21,【参考】数式用!$A$2:$M$57,MATCH(O21,【参考】数式用!$G$3:$M$3,0)+6,0),"")</f>
        <v/>
      </c>
      <c r="Q21" s="310" t="s">
        <v>118</v>
      </c>
      <c r="R21" s="308"/>
      <c r="S21" s="309" t="s">
        <v>183</v>
      </c>
      <c r="T21" s="308"/>
      <c r="U21" s="309" t="s">
        <v>184</v>
      </c>
      <c r="V21" s="308"/>
      <c r="W21" s="309" t="s">
        <v>183</v>
      </c>
      <c r="X21" s="308"/>
      <c r="Y21" s="309" t="s">
        <v>185</v>
      </c>
      <c r="Z21" s="309" t="s">
        <v>186</v>
      </c>
      <c r="AA21" s="309" t="str">
        <f t="shared" si="29"/>
        <v/>
      </c>
      <c r="AB21" s="305" t="s">
        <v>187</v>
      </c>
      <c r="AC21" s="306" t="str">
        <f t="shared" si="10"/>
        <v/>
      </c>
      <c r="AD21" s="515" t="str">
        <f t="shared" si="11"/>
        <v/>
      </c>
      <c r="AE21" s="307" t="str">
        <f>IFERROR(ROUNDDOWN(ROUNDDOWN(ROUND(L21*VLOOKUP(K21,【参考】数式用!$A$2:$M$57,MATCH("処遇改善加算Ⅳ",【参考】数式用!$G$3:$M$3,0)+6,0),0),0)*AA21*0.5,0), "")</f>
        <v/>
      </c>
      <c r="AF21" s="318"/>
      <c r="AG21" s="319"/>
      <c r="AH21" s="319"/>
      <c r="AI21" s="318"/>
      <c r="AJ21" s="320"/>
      <c r="AK21" s="326"/>
      <c r="AL21" s="324" t="str">
        <f t="shared" si="0"/>
        <v/>
      </c>
      <c r="AM21" s="325" t="str">
        <f t="shared" si="12"/>
        <v/>
      </c>
      <c r="AN21" s="255"/>
      <c r="AO21" s="557" t="str">
        <f>IFERROR(VLOOKUP(K21,【参考】数式用!$A$2:$N$57,14,FALSE),"")</f>
        <v/>
      </c>
      <c r="AP21" s="557" t="str">
        <f t="shared" si="13"/>
        <v/>
      </c>
      <c r="AQ21" s="561" t="str">
        <f t="shared" si="1"/>
        <v/>
      </c>
      <c r="AR21" s="561" t="str">
        <f t="shared" si="30"/>
        <v>キャリアパス要件Ⅰ・Ⅱ_</v>
      </c>
      <c r="AS21" s="540" t="str">
        <f t="shared" si="2"/>
        <v>入力済</v>
      </c>
      <c r="AT21" s="557" t="str">
        <f t="shared" si="14"/>
        <v/>
      </c>
      <c r="AU21" s="540" t="str">
        <f t="shared" si="3"/>
        <v>入力済</v>
      </c>
      <c r="AV21" s="540" t="str">
        <f t="shared" si="4"/>
        <v/>
      </c>
      <c r="AW21" s="576" t="str">
        <f t="shared" si="15"/>
        <v/>
      </c>
      <c r="AX21" s="557" t="str">
        <f t="shared" si="5"/>
        <v/>
      </c>
      <c r="AY21" s="540" t="str">
        <f>IFERROR(VLOOKUP(K21,【参考】数式用!$AR$3:$AS$49, 2, FALSE), "")</f>
        <v/>
      </c>
      <c r="AZ21" s="557" t="str">
        <f t="shared" si="16"/>
        <v/>
      </c>
      <c r="BA21" s="560" t="str">
        <f t="shared" si="6"/>
        <v>入力済</v>
      </c>
      <c r="BB21" s="540" t="str">
        <f>IFERROR(VLOOKUP(K21,【参考】数式用!$AX$3:$AY$59, 2, FALSE), "")</f>
        <v/>
      </c>
      <c r="BC21" s="557" t="str">
        <f t="shared" si="17"/>
        <v/>
      </c>
      <c r="BD21" s="560" t="str">
        <f t="shared" si="7"/>
        <v>入力済</v>
      </c>
      <c r="BE21" s="560" t="str">
        <f t="shared" si="18"/>
        <v/>
      </c>
      <c r="BF21" s="560" t="str">
        <f t="shared" si="19"/>
        <v/>
      </c>
      <c r="BG21" s="560" t="str">
        <f t="shared" si="20"/>
        <v/>
      </c>
      <c r="BH21" s="560" t="str">
        <f t="shared" si="8"/>
        <v/>
      </c>
      <c r="BI21" s="560" t="str">
        <f t="shared" si="9"/>
        <v/>
      </c>
      <c r="BK21" s="610"/>
      <c r="BL21" s="607" t="str">
        <f t="shared" si="21"/>
        <v/>
      </c>
      <c r="BM21" s="607" t="str">
        <f t="shared" si="22"/>
        <v/>
      </c>
      <c r="BN21" s="607" t="str">
        <f t="shared" si="23"/>
        <v/>
      </c>
      <c r="BO21" s="608" t="str">
        <f>IF(BM21="","",ROUNDDOWN(L21*VLOOKUP(K21,【参考】数式用!$A$4:$J$42,10,FALSE)*AA21,0))</f>
        <v/>
      </c>
      <c r="BP21" s="607" t="str">
        <f t="shared" si="24"/>
        <v/>
      </c>
      <c r="BQ21" s="607" t="str">
        <f t="shared" si="25"/>
        <v/>
      </c>
      <c r="BR21" s="609" t="str">
        <f t="shared" si="26"/>
        <v/>
      </c>
      <c r="BS21" s="609" t="str">
        <f t="shared" si="27"/>
        <v/>
      </c>
      <c r="BT21" s="607" t="str">
        <f t="shared" si="28"/>
        <v/>
      </c>
      <c r="BU21" s="608" t="str">
        <f>IF(BT21="Ⅱロ有り",ROUNDDOWN(L21*VLOOKUP(K21,【参考】数式用!$A$4:$J$42,10,FALSE)*AA21,0),"")</f>
        <v/>
      </c>
      <c r="BV21" s="607" t="str">
        <f>IF(BT21="Ⅱロなし",ROUNDDOWN(L21*VLOOKUP(K21,【参考】数式用!$A$4:$J$42,8,FALSE)*AA21,0),"")</f>
        <v/>
      </c>
    </row>
    <row r="22" spans="1:74" s="257" customFormat="1" ht="109.9" customHeight="1" thickBot="1">
      <c r="A22" s="303">
        <v>9</v>
      </c>
      <c r="B22" s="956" t="str">
        <f>IF(基本情報入力シート!B44="","",基本情報入力シート!B44)</f>
        <v/>
      </c>
      <c r="C22" s="957"/>
      <c r="D22" s="957"/>
      <c r="E22" s="957"/>
      <c r="F22" s="958"/>
      <c r="G22" s="304" t="str">
        <f>IF(基本情報入力シート!L44="", "", 基本情報入力シート!L44)</f>
        <v/>
      </c>
      <c r="H22" s="304" t="str">
        <f>IF(基本情報入力シート!Q44="", "", 基本情報入力シート!Q44)</f>
        <v/>
      </c>
      <c r="I22" s="304" t="str">
        <f>IF(基本情報入力シート!V44="", "", 基本情報入力シート!V44)</f>
        <v/>
      </c>
      <c r="J22" s="304" t="str">
        <f>IF(基本情報入力シート!W44="", "", 基本情報入力シート!W44)</f>
        <v/>
      </c>
      <c r="K22" s="304" t="str">
        <f>IF(基本情報入力シート!Z44="", "", 基本情報入力シート!Z44)</f>
        <v/>
      </c>
      <c r="L22" s="558" t="str">
        <f>IF(基本情報入力シート!AF44=0, "",基本情報入力シート!AF44)</f>
        <v/>
      </c>
      <c r="M22" s="524" t="str">
        <f>IF('別紙様式2-2（個票（４、５月））'!M22="","",'別紙様式2-2（個票（４、５月））'!M22)</f>
        <v/>
      </c>
      <c r="N22" s="523" t="str">
        <f>IF('別紙様式2-2（個票（４、５月））'!N22="","",'別紙様式2-2（個票（４、５月））'!N22)</f>
        <v/>
      </c>
      <c r="O22" s="286"/>
      <c r="P22" s="555" t="str">
        <f>IFERROR(VLOOKUP(K22,【参考】数式用!$A$2:$M$57,MATCH(O22,【参考】数式用!$G$3:$M$3,0)+6,0),"")</f>
        <v/>
      </c>
      <c r="Q22" s="310" t="s">
        <v>118</v>
      </c>
      <c r="R22" s="308"/>
      <c r="S22" s="309" t="s">
        <v>183</v>
      </c>
      <c r="T22" s="308"/>
      <c r="U22" s="309" t="s">
        <v>184</v>
      </c>
      <c r="V22" s="308"/>
      <c r="W22" s="309" t="s">
        <v>183</v>
      </c>
      <c r="X22" s="308"/>
      <c r="Y22" s="309" t="s">
        <v>120</v>
      </c>
      <c r="Z22" s="309" t="s">
        <v>186</v>
      </c>
      <c r="AA22" s="309" t="str">
        <f t="shared" si="29"/>
        <v/>
      </c>
      <c r="AB22" s="305" t="s">
        <v>187</v>
      </c>
      <c r="AC22" s="306" t="str">
        <f t="shared" si="10"/>
        <v/>
      </c>
      <c r="AD22" s="515" t="str">
        <f t="shared" si="11"/>
        <v/>
      </c>
      <c r="AE22" s="307" t="str">
        <f>IFERROR(ROUNDDOWN(ROUNDDOWN(ROUND(L22*VLOOKUP(K22,【参考】数式用!$A$2:$M$57,MATCH("処遇改善加算Ⅳ",【参考】数式用!$G$3:$M$3,0)+6,0),0),0)*AA22*0.5,0), "")</f>
        <v/>
      </c>
      <c r="AF22" s="318"/>
      <c r="AG22" s="319"/>
      <c r="AH22" s="319"/>
      <c r="AI22" s="318"/>
      <c r="AJ22" s="320"/>
      <c r="AK22" s="326"/>
      <c r="AL22" s="324" t="str">
        <f t="shared" si="0"/>
        <v/>
      </c>
      <c r="AM22" s="325" t="str">
        <f t="shared" si="12"/>
        <v/>
      </c>
      <c r="AN22" s="255"/>
      <c r="AO22" s="557" t="str">
        <f>IFERROR(VLOOKUP(K22,【参考】数式用!$A$2:$N$57,14,FALSE),"")</f>
        <v/>
      </c>
      <c r="AP22" s="557" t="str">
        <f t="shared" si="13"/>
        <v/>
      </c>
      <c r="AQ22" s="561" t="str">
        <f t="shared" si="1"/>
        <v/>
      </c>
      <c r="AR22" s="561" t="str">
        <f t="shared" si="30"/>
        <v>キャリアパス要件Ⅰ・Ⅱ_</v>
      </c>
      <c r="AS22" s="540" t="str">
        <f t="shared" si="2"/>
        <v>入力済</v>
      </c>
      <c r="AT22" s="557" t="str">
        <f t="shared" si="14"/>
        <v/>
      </c>
      <c r="AU22" s="540" t="str">
        <f t="shared" si="3"/>
        <v>入力済</v>
      </c>
      <c r="AV22" s="540" t="str">
        <f t="shared" si="4"/>
        <v/>
      </c>
      <c r="AW22" s="576" t="str">
        <f t="shared" si="15"/>
        <v/>
      </c>
      <c r="AX22" s="557" t="str">
        <f t="shared" si="5"/>
        <v/>
      </c>
      <c r="AY22" s="540" t="str">
        <f>IFERROR(VLOOKUP(K22,【参考】数式用!$AR$3:$AS$49, 2, FALSE), "")</f>
        <v/>
      </c>
      <c r="AZ22" s="557" t="str">
        <f t="shared" si="16"/>
        <v/>
      </c>
      <c r="BA22" s="560" t="str">
        <f t="shared" si="6"/>
        <v>入力済</v>
      </c>
      <c r="BB22" s="540" t="str">
        <f>IFERROR(VLOOKUP(K22,【参考】数式用!$AX$3:$AY$59, 2, FALSE), "")</f>
        <v/>
      </c>
      <c r="BC22" s="557" t="str">
        <f t="shared" si="17"/>
        <v/>
      </c>
      <c r="BD22" s="560" t="str">
        <f t="shared" si="7"/>
        <v>入力済</v>
      </c>
      <c r="BE22" s="560" t="str">
        <f t="shared" si="18"/>
        <v/>
      </c>
      <c r="BF22" s="560" t="str">
        <f t="shared" si="19"/>
        <v/>
      </c>
      <c r="BG22" s="560" t="str">
        <f t="shared" si="20"/>
        <v/>
      </c>
      <c r="BH22" s="560" t="str">
        <f t="shared" si="8"/>
        <v/>
      </c>
      <c r="BI22" s="560" t="str">
        <f t="shared" si="9"/>
        <v/>
      </c>
      <c r="BK22" s="610"/>
      <c r="BL22" s="607" t="str">
        <f t="shared" si="21"/>
        <v/>
      </c>
      <c r="BM22" s="607" t="str">
        <f t="shared" si="22"/>
        <v/>
      </c>
      <c r="BN22" s="607" t="str">
        <f t="shared" si="23"/>
        <v/>
      </c>
      <c r="BO22" s="608" t="str">
        <f>IF(BM22="","",ROUNDDOWN(L22*VLOOKUP(K22,【参考】数式用!$A$4:$J$42,10,FALSE)*AA22,0))</f>
        <v/>
      </c>
      <c r="BP22" s="607" t="str">
        <f t="shared" si="24"/>
        <v/>
      </c>
      <c r="BQ22" s="607" t="str">
        <f t="shared" si="25"/>
        <v/>
      </c>
      <c r="BR22" s="609" t="str">
        <f t="shared" si="26"/>
        <v/>
      </c>
      <c r="BS22" s="609" t="str">
        <f t="shared" si="27"/>
        <v/>
      </c>
      <c r="BT22" s="607" t="str">
        <f t="shared" si="28"/>
        <v/>
      </c>
      <c r="BU22" s="608" t="str">
        <f>IF(BT22="Ⅱロ有り",ROUNDDOWN(L22*VLOOKUP(K22,【参考】数式用!$A$4:$J$42,10,FALSE)*AA22,0),"")</f>
        <v/>
      </c>
      <c r="BV22" s="607" t="str">
        <f>IF(BT22="Ⅱロなし",ROUNDDOWN(L22*VLOOKUP(K22,【参考】数式用!$A$4:$J$42,8,FALSE)*AA22,0),"")</f>
        <v/>
      </c>
    </row>
    <row r="23" spans="1:74" s="257" customFormat="1" ht="109.9" customHeight="1" thickBot="1">
      <c r="A23" s="303">
        <v>10</v>
      </c>
      <c r="B23" s="956" t="str">
        <f>IF(基本情報入力シート!B45="","",基本情報入力シート!B45)</f>
        <v/>
      </c>
      <c r="C23" s="957"/>
      <c r="D23" s="957"/>
      <c r="E23" s="957"/>
      <c r="F23" s="958"/>
      <c r="G23" s="304" t="str">
        <f>IF(基本情報入力シート!L45="", "", 基本情報入力シート!L45)</f>
        <v/>
      </c>
      <c r="H23" s="304" t="str">
        <f>IF(基本情報入力シート!Q45="", "", 基本情報入力シート!Q45)</f>
        <v/>
      </c>
      <c r="I23" s="304" t="str">
        <f>IF(基本情報入力シート!V45="", "", 基本情報入力シート!V45)</f>
        <v/>
      </c>
      <c r="J23" s="304" t="str">
        <f>IF(基本情報入力シート!W45="", "", 基本情報入力シート!W45)</f>
        <v/>
      </c>
      <c r="K23" s="304" t="str">
        <f>IF(基本情報入力シート!Z45="", "", 基本情報入力シート!Z45)</f>
        <v/>
      </c>
      <c r="L23" s="558" t="str">
        <f>IF(基本情報入力シート!AF45=0, "",基本情報入力シート!AF45)</f>
        <v/>
      </c>
      <c r="M23" s="524" t="str">
        <f>IF('別紙様式2-2（個票（４、５月））'!M23="","",'別紙様式2-2（個票（４、５月））'!M23)</f>
        <v/>
      </c>
      <c r="N23" s="523" t="str">
        <f>IF('別紙様式2-2（個票（４、５月））'!N23="","",'別紙様式2-2（個票（４、５月））'!N23)</f>
        <v/>
      </c>
      <c r="O23" s="286"/>
      <c r="P23" s="555" t="str">
        <f>IFERROR(VLOOKUP(K23,【参考】数式用!$A$2:$M$57,MATCH(O23,【参考】数式用!$G$3:$M$3,0)+6,0),"")</f>
        <v/>
      </c>
      <c r="Q23" s="310" t="s">
        <v>118</v>
      </c>
      <c r="R23" s="308"/>
      <c r="S23" s="309" t="s">
        <v>183</v>
      </c>
      <c r="T23" s="308"/>
      <c r="U23" s="309" t="s">
        <v>184</v>
      </c>
      <c r="V23" s="308"/>
      <c r="W23" s="309" t="s">
        <v>183</v>
      </c>
      <c r="X23" s="308"/>
      <c r="Y23" s="309" t="s">
        <v>185</v>
      </c>
      <c r="Z23" s="309" t="s">
        <v>186</v>
      </c>
      <c r="AA23" s="309" t="str">
        <f t="shared" si="29"/>
        <v/>
      </c>
      <c r="AB23" s="305" t="s">
        <v>187</v>
      </c>
      <c r="AC23" s="306" t="str">
        <f t="shared" si="10"/>
        <v/>
      </c>
      <c r="AD23" s="515" t="str">
        <f t="shared" si="11"/>
        <v/>
      </c>
      <c r="AE23" s="307" t="str">
        <f>IFERROR(ROUNDDOWN(ROUNDDOWN(ROUND(L23*VLOOKUP(K23,【参考】数式用!$A$2:$M$57,MATCH("処遇改善加算Ⅳ",【参考】数式用!$G$3:$M$3,0)+6,0),0),0)*AA23*0.5,0), "")</f>
        <v/>
      </c>
      <c r="AF23" s="318"/>
      <c r="AG23" s="319"/>
      <c r="AH23" s="319"/>
      <c r="AI23" s="318"/>
      <c r="AJ23" s="320"/>
      <c r="AK23" s="326"/>
      <c r="AL23" s="324" t="str">
        <f t="shared" si="0"/>
        <v/>
      </c>
      <c r="AM23" s="325" t="str">
        <f t="shared" si="12"/>
        <v/>
      </c>
      <c r="AN23" s="255"/>
      <c r="AO23" s="557" t="str">
        <f>IFERROR(VLOOKUP(K23,【参考】数式用!$A$2:$N$57,14,FALSE),"")</f>
        <v/>
      </c>
      <c r="AP23" s="557" t="str">
        <f t="shared" si="13"/>
        <v/>
      </c>
      <c r="AQ23" s="561" t="str">
        <f t="shared" si="1"/>
        <v/>
      </c>
      <c r="AR23" s="561" t="str">
        <f t="shared" si="30"/>
        <v>キャリアパス要件Ⅰ・Ⅱ_</v>
      </c>
      <c r="AS23" s="540" t="str">
        <f t="shared" si="2"/>
        <v>入力済</v>
      </c>
      <c r="AT23" s="557" t="str">
        <f t="shared" si="14"/>
        <v/>
      </c>
      <c r="AU23" s="540" t="str">
        <f t="shared" si="3"/>
        <v>入力済</v>
      </c>
      <c r="AV23" s="540" t="str">
        <f t="shared" si="4"/>
        <v/>
      </c>
      <c r="AW23" s="576" t="str">
        <f t="shared" si="15"/>
        <v/>
      </c>
      <c r="AX23" s="557" t="str">
        <f t="shared" si="5"/>
        <v/>
      </c>
      <c r="AY23" s="540" t="str">
        <f>IFERROR(VLOOKUP(K23,【参考】数式用!$AR$3:$AS$49, 2, FALSE), "")</f>
        <v/>
      </c>
      <c r="AZ23" s="557" t="str">
        <f t="shared" si="16"/>
        <v/>
      </c>
      <c r="BA23" s="560" t="str">
        <f t="shared" si="6"/>
        <v>入力済</v>
      </c>
      <c r="BB23" s="540" t="str">
        <f>IFERROR(VLOOKUP(K23,【参考】数式用!$AX$3:$AY$59, 2, FALSE), "")</f>
        <v/>
      </c>
      <c r="BC23" s="557" t="str">
        <f t="shared" si="17"/>
        <v/>
      </c>
      <c r="BD23" s="560" t="str">
        <f t="shared" si="7"/>
        <v>入力済</v>
      </c>
      <c r="BE23" s="560" t="str">
        <f t="shared" si="18"/>
        <v/>
      </c>
      <c r="BF23" s="560" t="str">
        <f t="shared" si="19"/>
        <v/>
      </c>
      <c r="BG23" s="560" t="str">
        <f t="shared" si="20"/>
        <v/>
      </c>
      <c r="BH23" s="560" t="str">
        <f t="shared" si="8"/>
        <v/>
      </c>
      <c r="BI23" s="560" t="str">
        <f t="shared" si="9"/>
        <v/>
      </c>
      <c r="BK23" s="610"/>
      <c r="BL23" s="607" t="str">
        <f t="shared" si="21"/>
        <v/>
      </c>
      <c r="BM23" s="607" t="str">
        <f t="shared" si="22"/>
        <v/>
      </c>
      <c r="BN23" s="607" t="str">
        <f t="shared" si="23"/>
        <v/>
      </c>
      <c r="BO23" s="608" t="str">
        <f>IF(BM23="","",ROUNDDOWN(L23*VLOOKUP(K23,【参考】数式用!$A$4:$J$42,10,FALSE)*AA23,0))</f>
        <v/>
      </c>
      <c r="BP23" s="607" t="str">
        <f t="shared" si="24"/>
        <v/>
      </c>
      <c r="BQ23" s="607" t="str">
        <f t="shared" si="25"/>
        <v/>
      </c>
      <c r="BR23" s="609" t="str">
        <f t="shared" si="26"/>
        <v/>
      </c>
      <c r="BS23" s="609" t="str">
        <f t="shared" si="27"/>
        <v/>
      </c>
      <c r="BT23" s="607" t="str">
        <f t="shared" si="28"/>
        <v/>
      </c>
      <c r="BU23" s="608" t="str">
        <f>IF(BT23="Ⅱロ有り",ROUNDDOWN(L23*VLOOKUP(K23,【参考】数式用!$A$4:$J$42,10,FALSE)*AA23,0),"")</f>
        <v/>
      </c>
      <c r="BV23" s="607" t="str">
        <f>IF(BT23="Ⅱロなし",ROUNDDOWN(L23*VLOOKUP(K23,【参考】数式用!$A$4:$J$42,8,FALSE)*AA23,0),"")</f>
        <v/>
      </c>
    </row>
    <row r="24" spans="1:74" s="257" customFormat="1" ht="109.9" customHeight="1" thickBot="1">
      <c r="A24" s="303">
        <v>11</v>
      </c>
      <c r="B24" s="956" t="str">
        <f>IF(基本情報入力シート!B46="","",基本情報入力シート!B46)</f>
        <v/>
      </c>
      <c r="C24" s="957"/>
      <c r="D24" s="957"/>
      <c r="E24" s="957"/>
      <c r="F24" s="958"/>
      <c r="G24" s="304" t="str">
        <f>IF(基本情報入力シート!L46="", "", 基本情報入力シート!L46)</f>
        <v/>
      </c>
      <c r="H24" s="304" t="str">
        <f>IF(基本情報入力シート!Q46="", "", 基本情報入力シート!Q46)</f>
        <v/>
      </c>
      <c r="I24" s="304" t="str">
        <f>IF(基本情報入力シート!V46="", "", 基本情報入力シート!V46)</f>
        <v/>
      </c>
      <c r="J24" s="304" t="str">
        <f>IF(基本情報入力シート!W46="", "", 基本情報入力シート!W46)</f>
        <v/>
      </c>
      <c r="K24" s="304" t="str">
        <f>IF(基本情報入力シート!Z46="", "", 基本情報入力シート!Z46)</f>
        <v/>
      </c>
      <c r="L24" s="558" t="str">
        <f>IF(基本情報入力シート!AF46=0, "",基本情報入力シート!AF46)</f>
        <v/>
      </c>
      <c r="M24" s="524" t="str">
        <f>IF('別紙様式2-2（個票（４、５月））'!M24="","",'別紙様式2-2（個票（４、５月））'!M24)</f>
        <v/>
      </c>
      <c r="N24" s="523" t="str">
        <f>IF('別紙様式2-2（個票（４、５月））'!N24="","",'別紙様式2-2（個票（４、５月））'!N24)</f>
        <v/>
      </c>
      <c r="O24" s="286"/>
      <c r="P24" s="555" t="str">
        <f>IFERROR(VLOOKUP(K24,【参考】数式用!$A$2:$M$57,MATCH(O24,【参考】数式用!$G$3:$M$3,0)+6,0),"")</f>
        <v/>
      </c>
      <c r="Q24" s="310" t="s">
        <v>118</v>
      </c>
      <c r="R24" s="308"/>
      <c r="S24" s="309" t="s">
        <v>183</v>
      </c>
      <c r="T24" s="308"/>
      <c r="U24" s="309" t="s">
        <v>184</v>
      </c>
      <c r="V24" s="308"/>
      <c r="W24" s="309" t="s">
        <v>183</v>
      </c>
      <c r="X24" s="308"/>
      <c r="Y24" s="309" t="s">
        <v>185</v>
      </c>
      <c r="Z24" s="309" t="s">
        <v>186</v>
      </c>
      <c r="AA24" s="309" t="str">
        <f t="shared" si="29"/>
        <v/>
      </c>
      <c r="AB24" s="305" t="s">
        <v>187</v>
      </c>
      <c r="AC24" s="306" t="str">
        <f t="shared" si="10"/>
        <v/>
      </c>
      <c r="AD24" s="515" t="str">
        <f t="shared" si="11"/>
        <v/>
      </c>
      <c r="AE24" s="307" t="str">
        <f>IFERROR(ROUNDDOWN(ROUNDDOWN(ROUND(L24*VLOOKUP(K24,【参考】数式用!$A$2:$M$57,MATCH("処遇改善加算Ⅳ",【参考】数式用!$G$3:$M$3,0)+6,0),0),0)*AA24*0.5,0), "")</f>
        <v/>
      </c>
      <c r="AF24" s="318"/>
      <c r="AG24" s="319"/>
      <c r="AH24" s="319"/>
      <c r="AI24" s="318"/>
      <c r="AJ24" s="320"/>
      <c r="AK24" s="326"/>
      <c r="AL24" s="324" t="str">
        <f t="shared" si="0"/>
        <v/>
      </c>
      <c r="AM24" s="325" t="str">
        <f t="shared" si="12"/>
        <v/>
      </c>
      <c r="AN24" s="255"/>
      <c r="AO24" s="557" t="str">
        <f>IFERROR(VLOOKUP(K24,【参考】数式用!$A$2:$N$57,14,FALSE),"")</f>
        <v/>
      </c>
      <c r="AP24" s="557" t="str">
        <f t="shared" si="13"/>
        <v/>
      </c>
      <c r="AQ24" s="561" t="str">
        <f t="shared" si="1"/>
        <v/>
      </c>
      <c r="AR24" s="561" t="str">
        <f t="shared" si="30"/>
        <v>キャリアパス要件Ⅰ・Ⅱ_</v>
      </c>
      <c r="AS24" s="540" t="str">
        <f t="shared" si="2"/>
        <v>入力済</v>
      </c>
      <c r="AT24" s="557" t="str">
        <f t="shared" si="14"/>
        <v/>
      </c>
      <c r="AU24" s="540" t="str">
        <f t="shared" si="3"/>
        <v>入力済</v>
      </c>
      <c r="AV24" s="540" t="str">
        <f t="shared" si="4"/>
        <v/>
      </c>
      <c r="AW24" s="576" t="str">
        <f t="shared" si="15"/>
        <v/>
      </c>
      <c r="AX24" s="557" t="str">
        <f t="shared" si="5"/>
        <v/>
      </c>
      <c r="AY24" s="540" t="str">
        <f>IFERROR(VLOOKUP(K24,【参考】数式用!$AR$3:$AS$49, 2, FALSE), "")</f>
        <v/>
      </c>
      <c r="AZ24" s="557" t="str">
        <f t="shared" si="16"/>
        <v/>
      </c>
      <c r="BA24" s="560" t="str">
        <f t="shared" si="6"/>
        <v>入力済</v>
      </c>
      <c r="BB24" s="540" t="str">
        <f>IFERROR(VLOOKUP(K24,【参考】数式用!$AX$3:$AY$59, 2, FALSE), "")</f>
        <v/>
      </c>
      <c r="BC24" s="557" t="str">
        <f t="shared" si="17"/>
        <v/>
      </c>
      <c r="BD24" s="560" t="str">
        <f t="shared" si="7"/>
        <v>入力済</v>
      </c>
      <c r="BE24" s="560" t="str">
        <f t="shared" si="18"/>
        <v/>
      </c>
      <c r="BF24" s="560" t="str">
        <f t="shared" si="19"/>
        <v/>
      </c>
      <c r="BG24" s="560" t="str">
        <f t="shared" si="20"/>
        <v/>
      </c>
      <c r="BH24" s="560" t="str">
        <f t="shared" si="8"/>
        <v/>
      </c>
      <c r="BI24" s="560" t="str">
        <f t="shared" si="9"/>
        <v/>
      </c>
      <c r="BK24" s="610"/>
      <c r="BL24" s="607" t="str">
        <f t="shared" si="21"/>
        <v/>
      </c>
      <c r="BM24" s="607" t="str">
        <f t="shared" si="22"/>
        <v/>
      </c>
      <c r="BN24" s="607" t="str">
        <f t="shared" si="23"/>
        <v/>
      </c>
      <c r="BO24" s="608" t="str">
        <f>IF(BM24="","",ROUNDDOWN(L24*VLOOKUP(K24,【参考】数式用!$A$4:$J$42,10,FALSE)*AA24,0))</f>
        <v/>
      </c>
      <c r="BP24" s="607" t="str">
        <f t="shared" si="24"/>
        <v/>
      </c>
      <c r="BQ24" s="607" t="str">
        <f t="shared" si="25"/>
        <v/>
      </c>
      <c r="BR24" s="609" t="str">
        <f t="shared" si="26"/>
        <v/>
      </c>
      <c r="BS24" s="609" t="str">
        <f t="shared" si="27"/>
        <v/>
      </c>
      <c r="BT24" s="607" t="str">
        <f t="shared" si="28"/>
        <v/>
      </c>
      <c r="BU24" s="608" t="str">
        <f>IF(BT24="Ⅱロ有り",ROUNDDOWN(L24*VLOOKUP(K24,【参考】数式用!$A$4:$J$42,10,FALSE)*AA24,0),"")</f>
        <v/>
      </c>
      <c r="BV24" s="607" t="str">
        <f>IF(BT24="Ⅱロなし",ROUNDDOWN(L24*VLOOKUP(K24,【参考】数式用!$A$4:$J$42,8,FALSE)*AA24,0),"")</f>
        <v/>
      </c>
    </row>
    <row r="25" spans="1:74" s="257" customFormat="1" ht="109.9" customHeight="1" thickBot="1">
      <c r="A25" s="303">
        <v>12</v>
      </c>
      <c r="B25" s="956" t="str">
        <f>IF(基本情報入力シート!B47="","",基本情報入力シート!B47)</f>
        <v/>
      </c>
      <c r="C25" s="957"/>
      <c r="D25" s="957"/>
      <c r="E25" s="957"/>
      <c r="F25" s="958"/>
      <c r="G25" s="304" t="str">
        <f>IF(基本情報入力シート!L47="", "", 基本情報入力シート!L47)</f>
        <v/>
      </c>
      <c r="H25" s="304" t="str">
        <f>IF(基本情報入力シート!Q47="", "", 基本情報入力シート!Q47)</f>
        <v/>
      </c>
      <c r="I25" s="304" t="str">
        <f>IF(基本情報入力シート!V47="", "", 基本情報入力シート!V47)</f>
        <v/>
      </c>
      <c r="J25" s="304" t="str">
        <f>IF(基本情報入力シート!W47="", "", 基本情報入力シート!W47)</f>
        <v/>
      </c>
      <c r="K25" s="304" t="str">
        <f>IF(基本情報入力シート!Z47="", "", 基本情報入力シート!Z47)</f>
        <v/>
      </c>
      <c r="L25" s="558" t="str">
        <f>IF(基本情報入力シート!AF47=0, "",基本情報入力シート!AF47)</f>
        <v/>
      </c>
      <c r="M25" s="524" t="str">
        <f>IF('別紙様式2-2（個票（４、５月））'!M25="","",'別紙様式2-2（個票（４、５月））'!M25)</f>
        <v/>
      </c>
      <c r="N25" s="523" t="str">
        <f>IF('別紙様式2-2（個票（４、５月））'!N25="","",'別紙様式2-2（個票（４、５月））'!N25)</f>
        <v/>
      </c>
      <c r="O25" s="286"/>
      <c r="P25" s="555" t="str">
        <f>IFERROR(VLOOKUP(K25,【参考】数式用!$A$2:$M$57,MATCH(O25,【参考】数式用!$G$3:$M$3,0)+6,0),"")</f>
        <v/>
      </c>
      <c r="Q25" s="310" t="s">
        <v>118</v>
      </c>
      <c r="R25" s="308"/>
      <c r="S25" s="309" t="s">
        <v>183</v>
      </c>
      <c r="T25" s="308"/>
      <c r="U25" s="309" t="s">
        <v>184</v>
      </c>
      <c r="V25" s="308"/>
      <c r="W25" s="309" t="s">
        <v>183</v>
      </c>
      <c r="X25" s="308"/>
      <c r="Y25" s="309" t="s">
        <v>185</v>
      </c>
      <c r="Z25" s="309" t="s">
        <v>186</v>
      </c>
      <c r="AA25" s="309" t="str">
        <f t="shared" si="29"/>
        <v/>
      </c>
      <c r="AB25" s="305" t="s">
        <v>187</v>
      </c>
      <c r="AC25" s="306" t="str">
        <f t="shared" si="10"/>
        <v/>
      </c>
      <c r="AD25" s="515" t="str">
        <f t="shared" si="11"/>
        <v/>
      </c>
      <c r="AE25" s="307" t="str">
        <f>IFERROR(ROUNDDOWN(ROUNDDOWN(ROUND(L25*VLOOKUP(K25,【参考】数式用!$A$2:$M$57,MATCH("処遇改善加算Ⅳ",【参考】数式用!$G$3:$M$3,0)+6,0),0),0)*AA25*0.5,0), "")</f>
        <v/>
      </c>
      <c r="AF25" s="318"/>
      <c r="AG25" s="319"/>
      <c r="AH25" s="319"/>
      <c r="AI25" s="318"/>
      <c r="AJ25" s="320"/>
      <c r="AK25" s="326"/>
      <c r="AL25" s="324" t="str">
        <f t="shared" si="0"/>
        <v/>
      </c>
      <c r="AM25" s="325" t="str">
        <f t="shared" si="12"/>
        <v/>
      </c>
      <c r="AN25" s="255"/>
      <c r="AO25" s="557" t="str">
        <f>IFERROR(VLOOKUP(K25,【参考】数式用!$A$2:$N$57,14,FALSE),"")</f>
        <v/>
      </c>
      <c r="AP25" s="557" t="str">
        <f t="shared" si="13"/>
        <v/>
      </c>
      <c r="AQ25" s="561" t="str">
        <f t="shared" si="1"/>
        <v/>
      </c>
      <c r="AR25" s="561" t="str">
        <f t="shared" si="30"/>
        <v>キャリアパス要件Ⅰ・Ⅱ_</v>
      </c>
      <c r="AS25" s="540" t="str">
        <f t="shared" si="2"/>
        <v>入力済</v>
      </c>
      <c r="AT25" s="557" t="str">
        <f t="shared" si="14"/>
        <v/>
      </c>
      <c r="AU25" s="540" t="str">
        <f t="shared" si="3"/>
        <v>入力済</v>
      </c>
      <c r="AV25" s="540" t="str">
        <f t="shared" si="4"/>
        <v/>
      </c>
      <c r="AW25" s="576" t="str">
        <f t="shared" si="15"/>
        <v/>
      </c>
      <c r="AX25" s="557" t="str">
        <f t="shared" si="5"/>
        <v/>
      </c>
      <c r="AY25" s="540" t="str">
        <f>IFERROR(VLOOKUP(K25,【参考】数式用!$AR$3:$AS$49, 2, FALSE), "")</f>
        <v/>
      </c>
      <c r="AZ25" s="557" t="str">
        <f t="shared" si="16"/>
        <v/>
      </c>
      <c r="BA25" s="560" t="str">
        <f t="shared" si="6"/>
        <v>入力済</v>
      </c>
      <c r="BB25" s="540" t="str">
        <f>IFERROR(VLOOKUP(K25,【参考】数式用!$AX$3:$AY$59, 2, FALSE), "")</f>
        <v/>
      </c>
      <c r="BC25" s="557" t="str">
        <f t="shared" si="17"/>
        <v/>
      </c>
      <c r="BD25" s="560" t="str">
        <f t="shared" si="7"/>
        <v>入力済</v>
      </c>
      <c r="BE25" s="560" t="str">
        <f t="shared" si="18"/>
        <v/>
      </c>
      <c r="BF25" s="560" t="str">
        <f t="shared" si="19"/>
        <v/>
      </c>
      <c r="BG25" s="560" t="str">
        <f t="shared" si="20"/>
        <v/>
      </c>
      <c r="BH25" s="560" t="str">
        <f t="shared" si="8"/>
        <v/>
      </c>
      <c r="BI25" s="560" t="str">
        <f t="shared" si="9"/>
        <v/>
      </c>
      <c r="BK25" s="610"/>
      <c r="BL25" s="607" t="str">
        <f t="shared" si="21"/>
        <v/>
      </c>
      <c r="BM25" s="607" t="str">
        <f t="shared" si="22"/>
        <v/>
      </c>
      <c r="BN25" s="607" t="str">
        <f t="shared" si="23"/>
        <v/>
      </c>
      <c r="BO25" s="608" t="str">
        <f>IF(BM25="","",ROUNDDOWN(L25*VLOOKUP(K25,【参考】数式用!$A$4:$J$42,10,FALSE)*AA25,0))</f>
        <v/>
      </c>
      <c r="BP25" s="607" t="str">
        <f t="shared" si="24"/>
        <v/>
      </c>
      <c r="BQ25" s="607" t="str">
        <f t="shared" si="25"/>
        <v/>
      </c>
      <c r="BR25" s="609" t="str">
        <f t="shared" si="26"/>
        <v/>
      </c>
      <c r="BS25" s="609" t="str">
        <f t="shared" si="27"/>
        <v/>
      </c>
      <c r="BT25" s="607" t="str">
        <f t="shared" si="28"/>
        <v/>
      </c>
      <c r="BU25" s="608" t="str">
        <f>IF(BT25="Ⅱロ有り",ROUNDDOWN(L25*VLOOKUP(K25,【参考】数式用!$A$4:$J$42,10,FALSE)*AA25,0),"")</f>
        <v/>
      </c>
      <c r="BV25" s="607" t="str">
        <f>IF(BT25="Ⅱロなし",ROUNDDOWN(L25*VLOOKUP(K25,【参考】数式用!$A$4:$J$42,8,FALSE)*AA25,0),"")</f>
        <v/>
      </c>
    </row>
    <row r="26" spans="1:74" s="257" customFormat="1" ht="109.9" customHeight="1" thickBot="1">
      <c r="A26" s="303">
        <v>13</v>
      </c>
      <c r="B26" s="956" t="str">
        <f>IF(基本情報入力シート!B48="","",基本情報入力シート!B48)</f>
        <v/>
      </c>
      <c r="C26" s="957"/>
      <c r="D26" s="957"/>
      <c r="E26" s="957"/>
      <c r="F26" s="958"/>
      <c r="G26" s="304" t="str">
        <f>IF(基本情報入力シート!L48="", "", 基本情報入力シート!L48)</f>
        <v/>
      </c>
      <c r="H26" s="304" t="str">
        <f>IF(基本情報入力シート!Q48="", "", 基本情報入力シート!Q48)</f>
        <v/>
      </c>
      <c r="I26" s="304" t="str">
        <f>IF(基本情報入力シート!V48="", "", 基本情報入力シート!V48)</f>
        <v/>
      </c>
      <c r="J26" s="304" t="str">
        <f>IF(基本情報入力シート!W48="", "", 基本情報入力シート!W48)</f>
        <v/>
      </c>
      <c r="K26" s="304" t="str">
        <f>IF(基本情報入力シート!Z48="", "", 基本情報入力シート!Z48)</f>
        <v/>
      </c>
      <c r="L26" s="558" t="str">
        <f>IF(基本情報入力シート!AF48=0, "",基本情報入力シート!AF48)</f>
        <v/>
      </c>
      <c r="M26" s="524" t="str">
        <f>IF('別紙様式2-2（個票（４、５月））'!M26="","",'別紙様式2-2（個票（４、５月））'!M26)</f>
        <v/>
      </c>
      <c r="N26" s="523" t="str">
        <f>IF('別紙様式2-2（個票（４、５月））'!N26="","",'別紙様式2-2（個票（４、５月））'!N26)</f>
        <v/>
      </c>
      <c r="O26" s="286"/>
      <c r="P26" s="555" t="str">
        <f>IFERROR(VLOOKUP(K26,【参考】数式用!$A$2:$M$57,MATCH(O26,【参考】数式用!$G$3:$M$3,0)+6,0),"")</f>
        <v/>
      </c>
      <c r="Q26" s="310" t="s">
        <v>118</v>
      </c>
      <c r="R26" s="308"/>
      <c r="S26" s="309" t="s">
        <v>183</v>
      </c>
      <c r="T26" s="308"/>
      <c r="U26" s="309" t="s">
        <v>184</v>
      </c>
      <c r="V26" s="308"/>
      <c r="W26" s="309" t="s">
        <v>183</v>
      </c>
      <c r="X26" s="308"/>
      <c r="Y26" s="309" t="s">
        <v>120</v>
      </c>
      <c r="Z26" s="309" t="s">
        <v>186</v>
      </c>
      <c r="AA26" s="309" t="str">
        <f t="shared" si="29"/>
        <v/>
      </c>
      <c r="AB26" s="305" t="s">
        <v>187</v>
      </c>
      <c r="AC26" s="306" t="str">
        <f t="shared" si="10"/>
        <v/>
      </c>
      <c r="AD26" s="515" t="str">
        <f t="shared" si="11"/>
        <v/>
      </c>
      <c r="AE26" s="307" t="str">
        <f>IFERROR(ROUNDDOWN(ROUNDDOWN(ROUND(L26*VLOOKUP(K26,【参考】数式用!$A$2:$M$57,MATCH("処遇改善加算Ⅳ",【参考】数式用!$G$3:$M$3,0)+6,0),0),0)*AA26*0.5,0), "")</f>
        <v/>
      </c>
      <c r="AF26" s="318"/>
      <c r="AG26" s="319"/>
      <c r="AH26" s="319"/>
      <c r="AI26" s="318"/>
      <c r="AJ26" s="320"/>
      <c r="AK26" s="326"/>
      <c r="AL26" s="324" t="str">
        <f t="shared" si="0"/>
        <v/>
      </c>
      <c r="AM26" s="325" t="str">
        <f t="shared" si="12"/>
        <v/>
      </c>
      <c r="AN26" s="255"/>
      <c r="AO26" s="557" t="str">
        <f>IFERROR(VLOOKUP(K26,【参考】数式用!$A$2:$N$57,14,FALSE),"")</f>
        <v/>
      </c>
      <c r="AP26" s="557" t="str">
        <f t="shared" si="13"/>
        <v/>
      </c>
      <c r="AQ26" s="561" t="str">
        <f t="shared" si="1"/>
        <v/>
      </c>
      <c r="AR26" s="561" t="str">
        <f t="shared" si="30"/>
        <v>キャリアパス要件Ⅰ・Ⅱ_</v>
      </c>
      <c r="AS26" s="540" t="str">
        <f t="shared" si="2"/>
        <v>入力済</v>
      </c>
      <c r="AT26" s="557" t="str">
        <f t="shared" si="14"/>
        <v/>
      </c>
      <c r="AU26" s="540" t="str">
        <f t="shared" si="3"/>
        <v>入力済</v>
      </c>
      <c r="AV26" s="540" t="str">
        <f t="shared" si="4"/>
        <v/>
      </c>
      <c r="AW26" s="576" t="str">
        <f t="shared" si="15"/>
        <v/>
      </c>
      <c r="AX26" s="557" t="str">
        <f t="shared" si="5"/>
        <v/>
      </c>
      <c r="AY26" s="540" t="str">
        <f>IFERROR(VLOOKUP(K26,【参考】数式用!$AR$3:$AS$49, 2, FALSE), "")</f>
        <v/>
      </c>
      <c r="AZ26" s="557" t="str">
        <f t="shared" si="16"/>
        <v/>
      </c>
      <c r="BA26" s="560" t="str">
        <f t="shared" si="6"/>
        <v>入力済</v>
      </c>
      <c r="BB26" s="540" t="str">
        <f>IFERROR(VLOOKUP(K26,【参考】数式用!$AX$3:$AY$59, 2, FALSE), "")</f>
        <v/>
      </c>
      <c r="BC26" s="557" t="str">
        <f t="shared" si="17"/>
        <v/>
      </c>
      <c r="BD26" s="560" t="str">
        <f t="shared" si="7"/>
        <v>入力済</v>
      </c>
      <c r="BE26" s="560" t="str">
        <f t="shared" si="18"/>
        <v/>
      </c>
      <c r="BF26" s="560" t="str">
        <f t="shared" si="19"/>
        <v/>
      </c>
      <c r="BG26" s="560" t="str">
        <f t="shared" si="20"/>
        <v/>
      </c>
      <c r="BH26" s="560" t="str">
        <f t="shared" si="8"/>
        <v/>
      </c>
      <c r="BI26" s="560" t="str">
        <f t="shared" si="9"/>
        <v/>
      </c>
      <c r="BK26" s="610"/>
      <c r="BL26" s="607" t="str">
        <f t="shared" si="21"/>
        <v/>
      </c>
      <c r="BM26" s="607" t="str">
        <f t="shared" si="22"/>
        <v/>
      </c>
      <c r="BN26" s="607" t="str">
        <f t="shared" si="23"/>
        <v/>
      </c>
      <c r="BO26" s="608" t="str">
        <f>IF(BM26="","",ROUNDDOWN(L26*VLOOKUP(K26,【参考】数式用!$A$4:$J$42,10,FALSE)*AA26,0))</f>
        <v/>
      </c>
      <c r="BP26" s="607" t="str">
        <f t="shared" si="24"/>
        <v/>
      </c>
      <c r="BQ26" s="607" t="str">
        <f t="shared" si="25"/>
        <v/>
      </c>
      <c r="BR26" s="609" t="str">
        <f t="shared" si="26"/>
        <v/>
      </c>
      <c r="BS26" s="609" t="str">
        <f t="shared" si="27"/>
        <v/>
      </c>
      <c r="BT26" s="607" t="str">
        <f t="shared" si="28"/>
        <v/>
      </c>
      <c r="BU26" s="608" t="str">
        <f>IF(BT26="Ⅱロ有り",ROUNDDOWN(L26*VLOOKUP(K26,【参考】数式用!$A$4:$J$42,10,FALSE)*AA26,0),"")</f>
        <v/>
      </c>
      <c r="BV26" s="607" t="str">
        <f>IF(BT26="Ⅱロなし",ROUNDDOWN(L26*VLOOKUP(K26,【参考】数式用!$A$4:$J$42,8,FALSE)*AA26,0),"")</f>
        <v/>
      </c>
    </row>
    <row r="27" spans="1:74" s="257" customFormat="1" ht="109.9" customHeight="1" thickBot="1">
      <c r="A27" s="303">
        <v>14</v>
      </c>
      <c r="B27" s="956" t="str">
        <f>IF(基本情報入力シート!B49="","",基本情報入力シート!B49)</f>
        <v/>
      </c>
      <c r="C27" s="957"/>
      <c r="D27" s="957"/>
      <c r="E27" s="957"/>
      <c r="F27" s="958"/>
      <c r="G27" s="304" t="str">
        <f>IF(基本情報入力シート!L49="", "", 基本情報入力シート!L49)</f>
        <v/>
      </c>
      <c r="H27" s="304" t="str">
        <f>IF(基本情報入力シート!Q49="", "", 基本情報入力シート!Q49)</f>
        <v/>
      </c>
      <c r="I27" s="304" t="str">
        <f>IF(基本情報入力シート!V49="", "", 基本情報入力シート!V49)</f>
        <v/>
      </c>
      <c r="J27" s="304" t="str">
        <f>IF(基本情報入力シート!W49="", "", 基本情報入力シート!W49)</f>
        <v/>
      </c>
      <c r="K27" s="304" t="str">
        <f>IF(基本情報入力シート!Z49="", "", 基本情報入力シート!Z49)</f>
        <v/>
      </c>
      <c r="L27" s="558" t="str">
        <f>IF(基本情報入力シート!AF49=0, "",基本情報入力シート!AF49)</f>
        <v/>
      </c>
      <c r="M27" s="524" t="str">
        <f>IF('別紙様式2-2（個票（４、５月））'!M27="","",'別紙様式2-2（個票（４、５月））'!M27)</f>
        <v/>
      </c>
      <c r="N27" s="523" t="str">
        <f>IF('別紙様式2-2（個票（４、５月））'!N27="","",'別紙様式2-2（個票（４、５月））'!N27)</f>
        <v/>
      </c>
      <c r="O27" s="286"/>
      <c r="P27" s="555" t="str">
        <f>IFERROR(VLOOKUP(K27,【参考】数式用!$A$2:$M$57,MATCH(O27,【参考】数式用!$G$3:$M$3,0)+6,0),"")</f>
        <v/>
      </c>
      <c r="Q27" s="310" t="s">
        <v>118</v>
      </c>
      <c r="R27" s="308"/>
      <c r="S27" s="309" t="s">
        <v>183</v>
      </c>
      <c r="T27" s="308"/>
      <c r="U27" s="309" t="s">
        <v>184</v>
      </c>
      <c r="V27" s="308"/>
      <c r="W27" s="309" t="s">
        <v>183</v>
      </c>
      <c r="X27" s="308"/>
      <c r="Y27" s="309" t="s">
        <v>120</v>
      </c>
      <c r="Z27" s="309" t="s">
        <v>186</v>
      </c>
      <c r="AA27" s="309" t="str">
        <f t="shared" si="29"/>
        <v/>
      </c>
      <c r="AB27" s="305" t="s">
        <v>187</v>
      </c>
      <c r="AC27" s="306" t="str">
        <f t="shared" si="10"/>
        <v/>
      </c>
      <c r="AD27" s="515" t="str">
        <f t="shared" si="11"/>
        <v/>
      </c>
      <c r="AE27" s="307" t="str">
        <f>IFERROR(ROUNDDOWN(ROUNDDOWN(ROUND(L27*VLOOKUP(K27,【参考】数式用!$A$2:$M$57,MATCH("処遇改善加算Ⅳ",【参考】数式用!$G$3:$M$3,0)+6,0),0),0)*AA27*0.5,0), "")</f>
        <v/>
      </c>
      <c r="AF27" s="318"/>
      <c r="AG27" s="319"/>
      <c r="AH27" s="319"/>
      <c r="AI27" s="318"/>
      <c r="AJ27" s="320"/>
      <c r="AK27" s="326"/>
      <c r="AL27" s="324" t="str">
        <f t="shared" si="0"/>
        <v/>
      </c>
      <c r="AM27" s="325" t="str">
        <f t="shared" si="12"/>
        <v/>
      </c>
      <c r="AN27" s="255"/>
      <c r="AO27" s="557" t="str">
        <f>IFERROR(VLOOKUP(K27,【参考】数式用!$A$2:$N$57,14,FALSE),"")</f>
        <v/>
      </c>
      <c r="AP27" s="557" t="str">
        <f t="shared" si="13"/>
        <v/>
      </c>
      <c r="AQ27" s="561" t="str">
        <f t="shared" si="1"/>
        <v/>
      </c>
      <c r="AR27" s="561" t="str">
        <f t="shared" si="30"/>
        <v>キャリアパス要件Ⅰ・Ⅱ_</v>
      </c>
      <c r="AS27" s="540" t="str">
        <f t="shared" si="2"/>
        <v>入力済</v>
      </c>
      <c r="AT27" s="557" t="str">
        <f t="shared" si="14"/>
        <v/>
      </c>
      <c r="AU27" s="540" t="str">
        <f t="shared" si="3"/>
        <v>入力済</v>
      </c>
      <c r="AV27" s="540" t="str">
        <f t="shared" si="4"/>
        <v/>
      </c>
      <c r="AW27" s="576" t="str">
        <f t="shared" si="15"/>
        <v/>
      </c>
      <c r="AX27" s="557" t="str">
        <f t="shared" si="5"/>
        <v/>
      </c>
      <c r="AY27" s="540" t="str">
        <f>IFERROR(VLOOKUP(K27,【参考】数式用!$AR$3:$AS$49, 2, FALSE), "")</f>
        <v/>
      </c>
      <c r="AZ27" s="557" t="str">
        <f t="shared" si="16"/>
        <v/>
      </c>
      <c r="BA27" s="560" t="str">
        <f t="shared" si="6"/>
        <v>入力済</v>
      </c>
      <c r="BB27" s="540" t="str">
        <f>IFERROR(VLOOKUP(K27,【参考】数式用!$AX$3:$AY$59, 2, FALSE), "")</f>
        <v/>
      </c>
      <c r="BC27" s="557" t="str">
        <f t="shared" si="17"/>
        <v/>
      </c>
      <c r="BD27" s="560" t="str">
        <f t="shared" si="7"/>
        <v>入力済</v>
      </c>
      <c r="BE27" s="560" t="str">
        <f t="shared" si="18"/>
        <v/>
      </c>
      <c r="BF27" s="560" t="str">
        <f t="shared" si="19"/>
        <v/>
      </c>
      <c r="BG27" s="560" t="str">
        <f t="shared" si="20"/>
        <v/>
      </c>
      <c r="BH27" s="560" t="str">
        <f t="shared" si="8"/>
        <v/>
      </c>
      <c r="BI27" s="560" t="str">
        <f t="shared" si="9"/>
        <v/>
      </c>
      <c r="BK27" s="610"/>
      <c r="BL27" s="607" t="str">
        <f t="shared" si="21"/>
        <v/>
      </c>
      <c r="BM27" s="607" t="str">
        <f t="shared" si="22"/>
        <v/>
      </c>
      <c r="BN27" s="607" t="str">
        <f t="shared" si="23"/>
        <v/>
      </c>
      <c r="BO27" s="608" t="str">
        <f>IF(BM27="","",ROUNDDOWN(L27*VLOOKUP(K27,【参考】数式用!$A$4:$J$42,10,FALSE)*AA27,0))</f>
        <v/>
      </c>
      <c r="BP27" s="607" t="str">
        <f t="shared" si="24"/>
        <v/>
      </c>
      <c r="BQ27" s="607" t="str">
        <f t="shared" si="25"/>
        <v/>
      </c>
      <c r="BR27" s="609" t="str">
        <f t="shared" si="26"/>
        <v/>
      </c>
      <c r="BS27" s="609" t="str">
        <f t="shared" si="27"/>
        <v/>
      </c>
      <c r="BT27" s="607" t="str">
        <f t="shared" si="28"/>
        <v/>
      </c>
      <c r="BU27" s="608" t="str">
        <f>IF(BT27="Ⅱロ有り",ROUNDDOWN(L27*VLOOKUP(K27,【参考】数式用!$A$4:$J$42,10,FALSE)*AA27,0),"")</f>
        <v/>
      </c>
      <c r="BV27" s="607" t="str">
        <f>IF(BT27="Ⅱロなし",ROUNDDOWN(L27*VLOOKUP(K27,【参考】数式用!$A$4:$J$42,8,FALSE)*AA27,0),"")</f>
        <v/>
      </c>
    </row>
    <row r="28" spans="1:74" s="257" customFormat="1" ht="109.9" customHeight="1" thickBot="1">
      <c r="A28" s="303">
        <v>15</v>
      </c>
      <c r="B28" s="956" t="str">
        <f>IF(基本情報入力シート!B50="","",基本情報入力シート!B50)</f>
        <v/>
      </c>
      <c r="C28" s="957"/>
      <c r="D28" s="957"/>
      <c r="E28" s="957"/>
      <c r="F28" s="958"/>
      <c r="G28" s="304" t="str">
        <f>IF(基本情報入力シート!L50="", "", 基本情報入力シート!L50)</f>
        <v/>
      </c>
      <c r="H28" s="304" t="str">
        <f>IF(基本情報入力シート!Q50="", "", 基本情報入力シート!Q50)</f>
        <v/>
      </c>
      <c r="I28" s="304" t="str">
        <f>IF(基本情報入力シート!V50="", "", 基本情報入力シート!V50)</f>
        <v/>
      </c>
      <c r="J28" s="304" t="str">
        <f>IF(基本情報入力シート!W50="", "", 基本情報入力シート!W50)</f>
        <v/>
      </c>
      <c r="K28" s="304" t="str">
        <f>IF(基本情報入力シート!Z50="", "", 基本情報入力シート!Z50)</f>
        <v/>
      </c>
      <c r="L28" s="558" t="str">
        <f>IF(基本情報入力シート!AF50=0, "",基本情報入力シート!AF50)</f>
        <v/>
      </c>
      <c r="M28" s="524" t="str">
        <f>IF('別紙様式2-2（個票（４、５月））'!M28="","",'別紙様式2-2（個票（４、５月））'!M28)</f>
        <v/>
      </c>
      <c r="N28" s="523" t="str">
        <f>IF('別紙様式2-2（個票（４、５月））'!N28="","",'別紙様式2-2（個票（４、５月））'!N28)</f>
        <v/>
      </c>
      <c r="O28" s="286"/>
      <c r="P28" s="555" t="str">
        <f>IFERROR(VLOOKUP(K28,【参考】数式用!$A$2:$M$57,MATCH(O28,【参考】数式用!$G$3:$M$3,0)+6,0),"")</f>
        <v/>
      </c>
      <c r="Q28" s="310" t="s">
        <v>118</v>
      </c>
      <c r="R28" s="308"/>
      <c r="S28" s="309" t="s">
        <v>183</v>
      </c>
      <c r="T28" s="308"/>
      <c r="U28" s="309" t="s">
        <v>184</v>
      </c>
      <c r="V28" s="308"/>
      <c r="W28" s="309" t="s">
        <v>183</v>
      </c>
      <c r="X28" s="308"/>
      <c r="Y28" s="309" t="s">
        <v>185</v>
      </c>
      <c r="Z28" s="309" t="s">
        <v>186</v>
      </c>
      <c r="AA28" s="309" t="str">
        <f t="shared" si="29"/>
        <v/>
      </c>
      <c r="AB28" s="305" t="s">
        <v>187</v>
      </c>
      <c r="AC28" s="306" t="str">
        <f t="shared" si="10"/>
        <v/>
      </c>
      <c r="AD28" s="515" t="str">
        <f t="shared" si="11"/>
        <v/>
      </c>
      <c r="AE28" s="307" t="str">
        <f>IFERROR(ROUNDDOWN(ROUNDDOWN(ROUND(L28*VLOOKUP(K28,【参考】数式用!$A$2:$M$57,MATCH("処遇改善加算Ⅳ",【参考】数式用!$G$3:$M$3,0)+6,0),0),0)*AA28*0.5,0), "")</f>
        <v/>
      </c>
      <c r="AF28" s="318"/>
      <c r="AG28" s="319"/>
      <c r="AH28" s="319"/>
      <c r="AI28" s="318"/>
      <c r="AJ28" s="320"/>
      <c r="AK28" s="326"/>
      <c r="AL28" s="324" t="str">
        <f t="shared" si="0"/>
        <v/>
      </c>
      <c r="AM28" s="325" t="str">
        <f t="shared" si="12"/>
        <v/>
      </c>
      <c r="AN28" s="255"/>
      <c r="AO28" s="557" t="str">
        <f>IFERROR(VLOOKUP(K28,【参考】数式用!$A$2:$N$57,14,FALSE),"")</f>
        <v/>
      </c>
      <c r="AP28" s="557" t="str">
        <f t="shared" si="13"/>
        <v/>
      </c>
      <c r="AQ28" s="561" t="str">
        <f t="shared" si="1"/>
        <v/>
      </c>
      <c r="AR28" s="561" t="str">
        <f t="shared" si="30"/>
        <v>キャリアパス要件Ⅰ・Ⅱ_</v>
      </c>
      <c r="AS28" s="540" t="str">
        <f t="shared" si="2"/>
        <v>入力済</v>
      </c>
      <c r="AT28" s="557" t="str">
        <f t="shared" si="14"/>
        <v/>
      </c>
      <c r="AU28" s="540" t="str">
        <f t="shared" si="3"/>
        <v>入力済</v>
      </c>
      <c r="AV28" s="540" t="str">
        <f t="shared" si="4"/>
        <v/>
      </c>
      <c r="AW28" s="576" t="str">
        <f t="shared" si="15"/>
        <v/>
      </c>
      <c r="AX28" s="557" t="str">
        <f t="shared" si="5"/>
        <v/>
      </c>
      <c r="AY28" s="540" t="str">
        <f>IFERROR(VLOOKUP(K28,【参考】数式用!$AR$3:$AS$49, 2, FALSE), "")</f>
        <v/>
      </c>
      <c r="AZ28" s="557" t="str">
        <f t="shared" si="16"/>
        <v/>
      </c>
      <c r="BA28" s="560" t="str">
        <f t="shared" si="6"/>
        <v>入力済</v>
      </c>
      <c r="BB28" s="540" t="str">
        <f>IFERROR(VLOOKUP(K28,【参考】数式用!$AX$3:$AY$59, 2, FALSE), "")</f>
        <v/>
      </c>
      <c r="BC28" s="557" t="str">
        <f t="shared" si="17"/>
        <v/>
      </c>
      <c r="BD28" s="560" t="str">
        <f t="shared" si="7"/>
        <v>入力済</v>
      </c>
      <c r="BE28" s="560" t="str">
        <f t="shared" si="18"/>
        <v/>
      </c>
      <c r="BF28" s="560" t="str">
        <f t="shared" si="19"/>
        <v/>
      </c>
      <c r="BG28" s="560" t="str">
        <f t="shared" si="20"/>
        <v/>
      </c>
      <c r="BH28" s="560" t="str">
        <f t="shared" si="8"/>
        <v/>
      </c>
      <c r="BI28" s="560" t="str">
        <f t="shared" si="9"/>
        <v/>
      </c>
      <c r="BK28" s="610"/>
      <c r="BL28" s="607" t="str">
        <f t="shared" si="21"/>
        <v/>
      </c>
      <c r="BM28" s="607" t="str">
        <f t="shared" si="22"/>
        <v/>
      </c>
      <c r="BN28" s="607" t="str">
        <f t="shared" si="23"/>
        <v/>
      </c>
      <c r="BO28" s="608" t="str">
        <f>IF(BM28="","",ROUNDDOWN(L28*VLOOKUP(K28,【参考】数式用!$A$4:$J$42,10,FALSE)*AA28,0))</f>
        <v/>
      </c>
      <c r="BP28" s="607" t="str">
        <f t="shared" si="24"/>
        <v/>
      </c>
      <c r="BQ28" s="607" t="str">
        <f t="shared" si="25"/>
        <v/>
      </c>
      <c r="BR28" s="609" t="str">
        <f t="shared" si="26"/>
        <v/>
      </c>
      <c r="BS28" s="609" t="str">
        <f t="shared" si="27"/>
        <v/>
      </c>
      <c r="BT28" s="607" t="str">
        <f t="shared" si="28"/>
        <v/>
      </c>
      <c r="BU28" s="608" t="str">
        <f>IF(BT28="Ⅱロ有り",ROUNDDOWN(L28*VLOOKUP(K28,【参考】数式用!$A$4:$J$42,10,FALSE)*AA28,0),"")</f>
        <v/>
      </c>
      <c r="BV28" s="607" t="str">
        <f>IF(BT28="Ⅱロなし",ROUNDDOWN(L28*VLOOKUP(K28,【参考】数式用!$A$4:$J$42,8,FALSE)*AA28,0),"")</f>
        <v/>
      </c>
    </row>
    <row r="29" spans="1:74" s="257" customFormat="1" ht="109.9" customHeight="1" thickBot="1">
      <c r="A29" s="303">
        <v>16</v>
      </c>
      <c r="B29" s="956" t="str">
        <f>IF(基本情報入力シート!B51="","",基本情報入力シート!B51)</f>
        <v/>
      </c>
      <c r="C29" s="957"/>
      <c r="D29" s="957"/>
      <c r="E29" s="957"/>
      <c r="F29" s="958"/>
      <c r="G29" s="304" t="str">
        <f>IF(基本情報入力シート!L51="", "", 基本情報入力シート!L51)</f>
        <v/>
      </c>
      <c r="H29" s="304" t="str">
        <f>IF(基本情報入力シート!Q51="", "", 基本情報入力シート!Q51)</f>
        <v/>
      </c>
      <c r="I29" s="304" t="str">
        <f>IF(基本情報入力シート!V51="", "", 基本情報入力シート!V51)</f>
        <v/>
      </c>
      <c r="J29" s="304" t="str">
        <f>IF(基本情報入力シート!W51="", "", 基本情報入力シート!W51)</f>
        <v/>
      </c>
      <c r="K29" s="304" t="str">
        <f>IF(基本情報入力シート!Z51="", "", 基本情報入力シート!Z51)</f>
        <v/>
      </c>
      <c r="L29" s="558" t="str">
        <f>IF(基本情報入力シート!AF51=0, "",基本情報入力シート!AF51)</f>
        <v/>
      </c>
      <c r="M29" s="524" t="str">
        <f>IF('別紙様式2-2（個票（４、５月））'!M29="","",'別紙様式2-2（個票（４、５月））'!M29)</f>
        <v/>
      </c>
      <c r="N29" s="523" t="str">
        <f>IF('別紙様式2-2（個票（４、５月））'!N29="","",'別紙様式2-2（個票（４、５月））'!N29)</f>
        <v/>
      </c>
      <c r="O29" s="286"/>
      <c r="P29" s="555" t="str">
        <f>IFERROR(VLOOKUP(K29,【参考】数式用!$A$2:$M$57,MATCH(O29,【参考】数式用!$G$3:$M$3,0)+6,0),"")</f>
        <v/>
      </c>
      <c r="Q29" s="310" t="s">
        <v>118</v>
      </c>
      <c r="R29" s="308"/>
      <c r="S29" s="309" t="s">
        <v>183</v>
      </c>
      <c r="T29" s="308"/>
      <c r="U29" s="309" t="s">
        <v>184</v>
      </c>
      <c r="V29" s="308"/>
      <c r="W29" s="309" t="s">
        <v>183</v>
      </c>
      <c r="X29" s="308"/>
      <c r="Y29" s="309" t="s">
        <v>185</v>
      </c>
      <c r="Z29" s="309" t="s">
        <v>186</v>
      </c>
      <c r="AA29" s="309" t="str">
        <f t="shared" si="29"/>
        <v/>
      </c>
      <c r="AB29" s="305" t="s">
        <v>187</v>
      </c>
      <c r="AC29" s="306" t="str">
        <f t="shared" si="10"/>
        <v/>
      </c>
      <c r="AD29" s="515" t="str">
        <f t="shared" si="11"/>
        <v/>
      </c>
      <c r="AE29" s="307" t="str">
        <f>IFERROR(ROUNDDOWN(ROUNDDOWN(ROUND(L29*VLOOKUP(K29,【参考】数式用!$A$2:$M$57,MATCH("処遇改善加算Ⅳ",【参考】数式用!$G$3:$M$3,0)+6,0),0),0)*AA29*0.5,0), "")</f>
        <v/>
      </c>
      <c r="AF29" s="318"/>
      <c r="AG29" s="319"/>
      <c r="AH29" s="319"/>
      <c r="AI29" s="318"/>
      <c r="AJ29" s="320"/>
      <c r="AK29" s="326"/>
      <c r="AL29" s="324" t="str">
        <f t="shared" si="0"/>
        <v/>
      </c>
      <c r="AM29" s="325" t="str">
        <f t="shared" si="12"/>
        <v/>
      </c>
      <c r="AN29" s="255"/>
      <c r="AO29" s="557" t="str">
        <f>IFERROR(VLOOKUP(K29,【参考】数式用!$A$2:$N$57,14,FALSE),"")</f>
        <v/>
      </c>
      <c r="AP29" s="557" t="str">
        <f t="shared" si="13"/>
        <v/>
      </c>
      <c r="AQ29" s="561" t="str">
        <f t="shared" si="1"/>
        <v/>
      </c>
      <c r="AR29" s="561" t="str">
        <f t="shared" si="30"/>
        <v>キャリアパス要件Ⅰ・Ⅱ_</v>
      </c>
      <c r="AS29" s="540" t="str">
        <f t="shared" si="2"/>
        <v>入力済</v>
      </c>
      <c r="AT29" s="557" t="str">
        <f t="shared" si="14"/>
        <v/>
      </c>
      <c r="AU29" s="540" t="str">
        <f t="shared" si="3"/>
        <v>入力済</v>
      </c>
      <c r="AV29" s="540" t="str">
        <f t="shared" si="4"/>
        <v/>
      </c>
      <c r="AW29" s="576" t="str">
        <f t="shared" si="15"/>
        <v/>
      </c>
      <c r="AX29" s="557" t="str">
        <f t="shared" si="5"/>
        <v/>
      </c>
      <c r="AY29" s="540" t="str">
        <f>IFERROR(VLOOKUP(K29,【参考】数式用!$AR$3:$AS$49, 2, FALSE), "")</f>
        <v/>
      </c>
      <c r="AZ29" s="557" t="str">
        <f t="shared" si="16"/>
        <v/>
      </c>
      <c r="BA29" s="560" t="str">
        <f t="shared" si="6"/>
        <v>入力済</v>
      </c>
      <c r="BB29" s="540" t="str">
        <f>IFERROR(VLOOKUP(K29,【参考】数式用!$AX$3:$AY$59, 2, FALSE), "")</f>
        <v/>
      </c>
      <c r="BC29" s="557" t="str">
        <f t="shared" si="17"/>
        <v/>
      </c>
      <c r="BD29" s="560" t="str">
        <f t="shared" si="7"/>
        <v>入力済</v>
      </c>
      <c r="BE29" s="560" t="str">
        <f t="shared" si="18"/>
        <v/>
      </c>
      <c r="BF29" s="560" t="str">
        <f t="shared" si="19"/>
        <v/>
      </c>
      <c r="BG29" s="560" t="str">
        <f t="shared" si="20"/>
        <v/>
      </c>
      <c r="BH29" s="560" t="str">
        <f t="shared" si="8"/>
        <v/>
      </c>
      <c r="BI29" s="560" t="str">
        <f t="shared" si="9"/>
        <v/>
      </c>
      <c r="BK29" s="610"/>
      <c r="BL29" s="607" t="str">
        <f t="shared" si="21"/>
        <v/>
      </c>
      <c r="BM29" s="607" t="str">
        <f t="shared" si="22"/>
        <v/>
      </c>
      <c r="BN29" s="607" t="str">
        <f t="shared" si="23"/>
        <v/>
      </c>
      <c r="BO29" s="608" t="str">
        <f>IF(BM29="","",ROUNDDOWN(L29*VLOOKUP(K29,【参考】数式用!$A$4:$J$42,10,FALSE)*AA29,0))</f>
        <v/>
      </c>
      <c r="BP29" s="607" t="str">
        <f t="shared" si="24"/>
        <v/>
      </c>
      <c r="BQ29" s="607" t="str">
        <f t="shared" si="25"/>
        <v/>
      </c>
      <c r="BR29" s="609" t="str">
        <f t="shared" si="26"/>
        <v/>
      </c>
      <c r="BS29" s="609" t="str">
        <f t="shared" si="27"/>
        <v/>
      </c>
      <c r="BT29" s="607" t="str">
        <f t="shared" si="28"/>
        <v/>
      </c>
      <c r="BU29" s="608" t="str">
        <f>IF(BT29="Ⅱロ有り",ROUNDDOWN(L29*VLOOKUP(K29,【参考】数式用!$A$4:$J$42,10,FALSE)*AA29,0),"")</f>
        <v/>
      </c>
      <c r="BV29" s="607" t="str">
        <f>IF(BT29="Ⅱロなし",ROUNDDOWN(L29*VLOOKUP(K29,【参考】数式用!$A$4:$J$42,8,FALSE)*AA29,0),"")</f>
        <v/>
      </c>
    </row>
    <row r="30" spans="1:74" s="257" customFormat="1" ht="109.9" customHeight="1" thickBot="1">
      <c r="A30" s="303">
        <v>17</v>
      </c>
      <c r="B30" s="956" t="str">
        <f>IF(基本情報入力シート!B52="","",基本情報入力シート!B52)</f>
        <v/>
      </c>
      <c r="C30" s="957"/>
      <c r="D30" s="957"/>
      <c r="E30" s="957"/>
      <c r="F30" s="958"/>
      <c r="G30" s="304" t="str">
        <f>IF(基本情報入力シート!L52="", "", 基本情報入力シート!L52)</f>
        <v/>
      </c>
      <c r="H30" s="304" t="str">
        <f>IF(基本情報入力シート!Q52="", "", 基本情報入力シート!Q52)</f>
        <v/>
      </c>
      <c r="I30" s="304" t="str">
        <f>IF(基本情報入力シート!V52="", "", 基本情報入力シート!V52)</f>
        <v/>
      </c>
      <c r="J30" s="304" t="str">
        <f>IF(基本情報入力シート!W52="", "", 基本情報入力シート!W52)</f>
        <v/>
      </c>
      <c r="K30" s="304" t="str">
        <f>IF(基本情報入力シート!Z52="", "", 基本情報入力シート!Z52)</f>
        <v/>
      </c>
      <c r="L30" s="558" t="str">
        <f>IF(基本情報入力シート!AF52=0, "",基本情報入力シート!AF52)</f>
        <v/>
      </c>
      <c r="M30" s="524" t="str">
        <f>IF('別紙様式2-2（個票（４、５月））'!M30="","",'別紙様式2-2（個票（４、５月））'!M30)</f>
        <v/>
      </c>
      <c r="N30" s="523" t="str">
        <f>IF('別紙様式2-2（個票（４、５月））'!N30="","",'別紙様式2-2（個票（４、５月））'!N30)</f>
        <v/>
      </c>
      <c r="O30" s="286"/>
      <c r="P30" s="555" t="str">
        <f>IFERROR(VLOOKUP(K30,【参考】数式用!$A$2:$M$57,MATCH(O30,【参考】数式用!$G$3:$M$3,0)+6,0),"")</f>
        <v/>
      </c>
      <c r="Q30" s="310" t="s">
        <v>118</v>
      </c>
      <c r="R30" s="308"/>
      <c r="S30" s="309" t="s">
        <v>183</v>
      </c>
      <c r="T30" s="308"/>
      <c r="U30" s="309" t="s">
        <v>184</v>
      </c>
      <c r="V30" s="308"/>
      <c r="W30" s="309" t="s">
        <v>183</v>
      </c>
      <c r="X30" s="308"/>
      <c r="Y30" s="309" t="s">
        <v>185</v>
      </c>
      <c r="Z30" s="309" t="s">
        <v>186</v>
      </c>
      <c r="AA30" s="309" t="str">
        <f t="shared" si="29"/>
        <v/>
      </c>
      <c r="AB30" s="305" t="s">
        <v>187</v>
      </c>
      <c r="AC30" s="306" t="str">
        <f t="shared" si="10"/>
        <v/>
      </c>
      <c r="AD30" s="515" t="str">
        <f t="shared" si="11"/>
        <v/>
      </c>
      <c r="AE30" s="307" t="str">
        <f>IFERROR(ROUNDDOWN(ROUNDDOWN(ROUND(L30*VLOOKUP(K30,【参考】数式用!$A$2:$M$57,MATCH("処遇改善加算Ⅳ",【参考】数式用!$G$3:$M$3,0)+6,0),0),0)*AA30*0.5,0), "")</f>
        <v/>
      </c>
      <c r="AF30" s="318"/>
      <c r="AG30" s="319"/>
      <c r="AH30" s="319"/>
      <c r="AI30" s="318"/>
      <c r="AJ30" s="320"/>
      <c r="AK30" s="326"/>
      <c r="AL30" s="324" t="str">
        <f t="shared" si="0"/>
        <v/>
      </c>
      <c r="AM30" s="325" t="str">
        <f t="shared" si="12"/>
        <v/>
      </c>
      <c r="AN30" s="255"/>
      <c r="AO30" s="557" t="str">
        <f>IFERROR(VLOOKUP(K30,【参考】数式用!$A$2:$N$57,14,FALSE),"")</f>
        <v/>
      </c>
      <c r="AP30" s="557" t="str">
        <f t="shared" si="13"/>
        <v/>
      </c>
      <c r="AQ30" s="561" t="str">
        <f t="shared" si="1"/>
        <v/>
      </c>
      <c r="AR30" s="561" t="str">
        <f t="shared" si="30"/>
        <v>キャリアパス要件Ⅰ・Ⅱ_</v>
      </c>
      <c r="AS30" s="540" t="str">
        <f t="shared" si="2"/>
        <v>入力済</v>
      </c>
      <c r="AT30" s="557" t="str">
        <f t="shared" si="14"/>
        <v/>
      </c>
      <c r="AU30" s="540" t="str">
        <f t="shared" si="3"/>
        <v>入力済</v>
      </c>
      <c r="AV30" s="540" t="str">
        <f t="shared" si="4"/>
        <v/>
      </c>
      <c r="AW30" s="576" t="str">
        <f t="shared" si="15"/>
        <v/>
      </c>
      <c r="AX30" s="557" t="str">
        <f t="shared" si="5"/>
        <v/>
      </c>
      <c r="AY30" s="540" t="str">
        <f>IFERROR(VLOOKUP(K30,【参考】数式用!$AR$3:$AS$49, 2, FALSE), "")</f>
        <v/>
      </c>
      <c r="AZ30" s="557" t="str">
        <f t="shared" si="16"/>
        <v/>
      </c>
      <c r="BA30" s="560" t="str">
        <f t="shared" si="6"/>
        <v>入力済</v>
      </c>
      <c r="BB30" s="540" t="str">
        <f>IFERROR(VLOOKUP(K30,【参考】数式用!$AX$3:$AY$59, 2, FALSE), "")</f>
        <v/>
      </c>
      <c r="BC30" s="557" t="str">
        <f t="shared" si="17"/>
        <v/>
      </c>
      <c r="BD30" s="560" t="str">
        <f t="shared" si="7"/>
        <v>入力済</v>
      </c>
      <c r="BE30" s="560" t="str">
        <f t="shared" si="18"/>
        <v/>
      </c>
      <c r="BF30" s="560" t="str">
        <f t="shared" si="19"/>
        <v/>
      </c>
      <c r="BG30" s="560" t="str">
        <f t="shared" si="20"/>
        <v/>
      </c>
      <c r="BH30" s="560" t="str">
        <f t="shared" si="8"/>
        <v/>
      </c>
      <c r="BI30" s="560" t="str">
        <f t="shared" si="9"/>
        <v/>
      </c>
      <c r="BK30" s="610"/>
      <c r="BL30" s="607" t="str">
        <f t="shared" si="21"/>
        <v/>
      </c>
      <c r="BM30" s="607" t="str">
        <f t="shared" si="22"/>
        <v/>
      </c>
      <c r="BN30" s="607" t="str">
        <f t="shared" si="23"/>
        <v/>
      </c>
      <c r="BO30" s="608" t="str">
        <f>IF(BM30="","",ROUNDDOWN(L30*VLOOKUP(K30,【参考】数式用!$A$4:$J$42,10,FALSE)*AA30,0))</f>
        <v/>
      </c>
      <c r="BP30" s="607" t="str">
        <f t="shared" si="24"/>
        <v/>
      </c>
      <c r="BQ30" s="607" t="str">
        <f t="shared" si="25"/>
        <v/>
      </c>
      <c r="BR30" s="609" t="str">
        <f t="shared" si="26"/>
        <v/>
      </c>
      <c r="BS30" s="609" t="str">
        <f t="shared" si="27"/>
        <v/>
      </c>
      <c r="BT30" s="607" t="str">
        <f t="shared" si="28"/>
        <v/>
      </c>
      <c r="BU30" s="608" t="str">
        <f>IF(BT30="Ⅱロ有り",ROUNDDOWN(L30*VLOOKUP(K30,【参考】数式用!$A$4:$J$42,10,FALSE)*AA30,0),"")</f>
        <v/>
      </c>
      <c r="BV30" s="607" t="str">
        <f>IF(BT30="Ⅱロなし",ROUNDDOWN(L30*VLOOKUP(K30,【参考】数式用!$A$4:$J$42,8,FALSE)*AA30,0),"")</f>
        <v/>
      </c>
    </row>
    <row r="31" spans="1:74" s="257" customFormat="1" ht="109.9" customHeight="1" thickBot="1">
      <c r="A31" s="303">
        <v>18</v>
      </c>
      <c r="B31" s="956" t="str">
        <f>IF(基本情報入力シート!B53="","",基本情報入力シート!B53)</f>
        <v/>
      </c>
      <c r="C31" s="957"/>
      <c r="D31" s="957"/>
      <c r="E31" s="957"/>
      <c r="F31" s="958"/>
      <c r="G31" s="304" t="str">
        <f>IF(基本情報入力シート!L53="", "", 基本情報入力シート!L53)</f>
        <v/>
      </c>
      <c r="H31" s="304" t="str">
        <f>IF(基本情報入力シート!Q53="", "", 基本情報入力シート!Q53)</f>
        <v/>
      </c>
      <c r="I31" s="304" t="str">
        <f>IF(基本情報入力シート!V53="", "", 基本情報入力シート!V53)</f>
        <v/>
      </c>
      <c r="J31" s="304" t="str">
        <f>IF(基本情報入力シート!W53="", "", 基本情報入力シート!W53)</f>
        <v/>
      </c>
      <c r="K31" s="304" t="str">
        <f>IF(基本情報入力シート!Z53="", "", 基本情報入力シート!Z53)</f>
        <v/>
      </c>
      <c r="L31" s="558" t="str">
        <f>IF(基本情報入力シート!AF53=0, "",基本情報入力シート!AF53)</f>
        <v/>
      </c>
      <c r="M31" s="524" t="str">
        <f>IF('別紙様式2-2（個票（４、５月））'!M31="","",'別紙様式2-2（個票（４、５月））'!M31)</f>
        <v/>
      </c>
      <c r="N31" s="523" t="str">
        <f>IF('別紙様式2-2（個票（４、５月））'!N31="","",'別紙様式2-2（個票（４、５月））'!N31)</f>
        <v/>
      </c>
      <c r="O31" s="286"/>
      <c r="P31" s="555" t="str">
        <f>IFERROR(VLOOKUP(K31,【参考】数式用!$A$2:$M$57,MATCH(O31,【参考】数式用!$G$3:$M$3,0)+6,0),"")</f>
        <v/>
      </c>
      <c r="Q31" s="310" t="s">
        <v>118</v>
      </c>
      <c r="R31" s="308"/>
      <c r="S31" s="309" t="s">
        <v>183</v>
      </c>
      <c r="T31" s="308"/>
      <c r="U31" s="309" t="s">
        <v>184</v>
      </c>
      <c r="V31" s="308"/>
      <c r="W31" s="309" t="s">
        <v>183</v>
      </c>
      <c r="X31" s="308"/>
      <c r="Y31" s="309" t="s">
        <v>120</v>
      </c>
      <c r="Z31" s="309" t="s">
        <v>186</v>
      </c>
      <c r="AA31" s="309" t="str">
        <f t="shared" si="29"/>
        <v/>
      </c>
      <c r="AB31" s="305" t="s">
        <v>187</v>
      </c>
      <c r="AC31" s="306" t="str">
        <f t="shared" si="10"/>
        <v/>
      </c>
      <c r="AD31" s="515" t="str">
        <f t="shared" si="11"/>
        <v/>
      </c>
      <c r="AE31" s="307" t="str">
        <f>IFERROR(ROUNDDOWN(ROUNDDOWN(ROUND(L31*VLOOKUP(K31,【参考】数式用!$A$2:$M$57,MATCH("処遇改善加算Ⅳ",【参考】数式用!$G$3:$M$3,0)+6,0),0),0)*AA31*0.5,0), "")</f>
        <v/>
      </c>
      <c r="AF31" s="318"/>
      <c r="AG31" s="319"/>
      <c r="AH31" s="319"/>
      <c r="AI31" s="318"/>
      <c r="AJ31" s="320"/>
      <c r="AK31" s="326"/>
      <c r="AL31" s="324" t="str">
        <f t="shared" si="0"/>
        <v/>
      </c>
      <c r="AM31" s="325" t="str">
        <f t="shared" si="12"/>
        <v/>
      </c>
      <c r="AN31" s="255"/>
      <c r="AO31" s="557" t="str">
        <f>IFERROR(VLOOKUP(K31,【参考】数式用!$A$2:$N$57,14,FALSE),"")</f>
        <v/>
      </c>
      <c r="AP31" s="557" t="str">
        <f t="shared" si="13"/>
        <v/>
      </c>
      <c r="AQ31" s="561" t="str">
        <f t="shared" si="1"/>
        <v/>
      </c>
      <c r="AR31" s="561" t="str">
        <f t="shared" si="30"/>
        <v>キャリアパス要件Ⅰ・Ⅱ_</v>
      </c>
      <c r="AS31" s="540" t="str">
        <f t="shared" si="2"/>
        <v>入力済</v>
      </c>
      <c r="AT31" s="557" t="str">
        <f t="shared" si="14"/>
        <v/>
      </c>
      <c r="AU31" s="540" t="str">
        <f t="shared" si="3"/>
        <v>入力済</v>
      </c>
      <c r="AV31" s="540" t="str">
        <f t="shared" si="4"/>
        <v/>
      </c>
      <c r="AW31" s="576" t="str">
        <f t="shared" si="15"/>
        <v/>
      </c>
      <c r="AX31" s="557" t="str">
        <f t="shared" si="5"/>
        <v/>
      </c>
      <c r="AY31" s="540" t="str">
        <f>IFERROR(VLOOKUP(K31,【参考】数式用!$AR$3:$AS$49, 2, FALSE), "")</f>
        <v/>
      </c>
      <c r="AZ31" s="557" t="str">
        <f t="shared" si="16"/>
        <v/>
      </c>
      <c r="BA31" s="560" t="str">
        <f t="shared" si="6"/>
        <v>入力済</v>
      </c>
      <c r="BB31" s="540" t="str">
        <f>IFERROR(VLOOKUP(K31,【参考】数式用!$AX$3:$AY$59, 2, FALSE), "")</f>
        <v/>
      </c>
      <c r="BC31" s="557" t="str">
        <f t="shared" si="17"/>
        <v/>
      </c>
      <c r="BD31" s="560" t="str">
        <f t="shared" si="7"/>
        <v>入力済</v>
      </c>
      <c r="BE31" s="560" t="str">
        <f t="shared" si="18"/>
        <v/>
      </c>
      <c r="BF31" s="560" t="str">
        <f t="shared" si="19"/>
        <v/>
      </c>
      <c r="BG31" s="560" t="str">
        <f t="shared" si="20"/>
        <v/>
      </c>
      <c r="BH31" s="560" t="str">
        <f t="shared" si="8"/>
        <v/>
      </c>
      <c r="BI31" s="560" t="str">
        <f t="shared" si="9"/>
        <v/>
      </c>
      <c r="BK31" s="610"/>
      <c r="BL31" s="607" t="str">
        <f t="shared" si="21"/>
        <v/>
      </c>
      <c r="BM31" s="607" t="str">
        <f t="shared" si="22"/>
        <v/>
      </c>
      <c r="BN31" s="607" t="str">
        <f t="shared" si="23"/>
        <v/>
      </c>
      <c r="BO31" s="608" t="str">
        <f>IF(BM31="","",ROUNDDOWN(L31*VLOOKUP(K31,【参考】数式用!$A$4:$J$42,10,FALSE)*AA31,0))</f>
        <v/>
      </c>
      <c r="BP31" s="607" t="str">
        <f t="shared" si="24"/>
        <v/>
      </c>
      <c r="BQ31" s="607" t="str">
        <f t="shared" si="25"/>
        <v/>
      </c>
      <c r="BR31" s="609" t="str">
        <f t="shared" si="26"/>
        <v/>
      </c>
      <c r="BS31" s="609" t="str">
        <f t="shared" si="27"/>
        <v/>
      </c>
      <c r="BT31" s="607" t="str">
        <f t="shared" si="28"/>
        <v/>
      </c>
      <c r="BU31" s="608" t="str">
        <f>IF(BT31="Ⅱロ有り",ROUNDDOWN(L31*VLOOKUP(K31,【参考】数式用!$A$4:$J$42,10,FALSE)*AA31,0),"")</f>
        <v/>
      </c>
      <c r="BV31" s="607" t="str">
        <f>IF(BT31="Ⅱロなし",ROUNDDOWN(L31*VLOOKUP(K31,【参考】数式用!$A$4:$J$42,8,FALSE)*AA31,0),"")</f>
        <v/>
      </c>
    </row>
    <row r="32" spans="1:74" s="257" customFormat="1" ht="109.9" customHeight="1" thickBot="1">
      <c r="A32" s="303">
        <v>19</v>
      </c>
      <c r="B32" s="956" t="str">
        <f>IF(基本情報入力シート!B54="","",基本情報入力シート!B54)</f>
        <v/>
      </c>
      <c r="C32" s="957"/>
      <c r="D32" s="957"/>
      <c r="E32" s="957"/>
      <c r="F32" s="958"/>
      <c r="G32" s="304" t="str">
        <f>IF(基本情報入力シート!L54="", "", 基本情報入力シート!L54)</f>
        <v/>
      </c>
      <c r="H32" s="304" t="str">
        <f>IF(基本情報入力シート!Q54="", "", 基本情報入力シート!Q54)</f>
        <v/>
      </c>
      <c r="I32" s="304" t="str">
        <f>IF(基本情報入力シート!V54="", "", 基本情報入力シート!V54)</f>
        <v/>
      </c>
      <c r="J32" s="304" t="str">
        <f>IF(基本情報入力シート!W54="", "", 基本情報入力シート!W54)</f>
        <v/>
      </c>
      <c r="K32" s="304" t="str">
        <f>IF(基本情報入力シート!Z54="", "", 基本情報入力シート!Z54)</f>
        <v/>
      </c>
      <c r="L32" s="558" t="str">
        <f>IF(基本情報入力シート!AF54=0, "",基本情報入力シート!AF54)</f>
        <v/>
      </c>
      <c r="M32" s="524" t="str">
        <f>IF('別紙様式2-2（個票（４、５月））'!M32="","",'別紙様式2-2（個票（４、５月））'!M32)</f>
        <v/>
      </c>
      <c r="N32" s="523" t="str">
        <f>IF('別紙様式2-2（個票（４、５月））'!N32="","",'別紙様式2-2（個票（４、５月））'!N32)</f>
        <v/>
      </c>
      <c r="O32" s="286"/>
      <c r="P32" s="555" t="str">
        <f>IFERROR(VLOOKUP(K32,【参考】数式用!$A$2:$M$57,MATCH(O32,【参考】数式用!$G$3:$M$3,0)+6,0),"")</f>
        <v/>
      </c>
      <c r="Q32" s="310" t="s">
        <v>118</v>
      </c>
      <c r="R32" s="308"/>
      <c r="S32" s="309" t="s">
        <v>183</v>
      </c>
      <c r="T32" s="308"/>
      <c r="U32" s="309" t="s">
        <v>184</v>
      </c>
      <c r="V32" s="308"/>
      <c r="W32" s="309" t="s">
        <v>183</v>
      </c>
      <c r="X32" s="308"/>
      <c r="Y32" s="309" t="s">
        <v>185</v>
      </c>
      <c r="Z32" s="309" t="s">
        <v>186</v>
      </c>
      <c r="AA32" s="309" t="str">
        <f t="shared" si="29"/>
        <v/>
      </c>
      <c r="AB32" s="305" t="s">
        <v>187</v>
      </c>
      <c r="AC32" s="306" t="str">
        <f t="shared" si="10"/>
        <v/>
      </c>
      <c r="AD32" s="515" t="str">
        <f t="shared" si="11"/>
        <v/>
      </c>
      <c r="AE32" s="307" t="str">
        <f>IFERROR(ROUNDDOWN(ROUNDDOWN(ROUND(L32*VLOOKUP(K32,【参考】数式用!$A$2:$M$57,MATCH("処遇改善加算Ⅳ",【参考】数式用!$G$3:$M$3,0)+6,0),0),0)*AA32*0.5,0), "")</f>
        <v/>
      </c>
      <c r="AF32" s="318"/>
      <c r="AG32" s="319"/>
      <c r="AH32" s="319"/>
      <c r="AI32" s="318"/>
      <c r="AJ32" s="320"/>
      <c r="AK32" s="326"/>
      <c r="AL32" s="324" t="str">
        <f t="shared" si="0"/>
        <v/>
      </c>
      <c r="AM32" s="325" t="str">
        <f t="shared" si="12"/>
        <v/>
      </c>
      <c r="AN32" s="255"/>
      <c r="AO32" s="557" t="str">
        <f>IFERROR(VLOOKUP(K32,【参考】数式用!$A$2:$N$57,14,FALSE),"")</f>
        <v/>
      </c>
      <c r="AP32" s="557" t="str">
        <f t="shared" si="13"/>
        <v/>
      </c>
      <c r="AQ32" s="561" t="str">
        <f t="shared" si="1"/>
        <v/>
      </c>
      <c r="AR32" s="561" t="str">
        <f t="shared" si="30"/>
        <v>キャリアパス要件Ⅰ・Ⅱ_</v>
      </c>
      <c r="AS32" s="540" t="str">
        <f t="shared" si="2"/>
        <v>入力済</v>
      </c>
      <c r="AT32" s="557" t="str">
        <f t="shared" si="14"/>
        <v/>
      </c>
      <c r="AU32" s="540" t="str">
        <f t="shared" si="3"/>
        <v>入力済</v>
      </c>
      <c r="AV32" s="540" t="str">
        <f t="shared" si="4"/>
        <v/>
      </c>
      <c r="AW32" s="576" t="str">
        <f t="shared" si="15"/>
        <v/>
      </c>
      <c r="AX32" s="557" t="str">
        <f t="shared" si="5"/>
        <v/>
      </c>
      <c r="AY32" s="540" t="str">
        <f>IFERROR(VLOOKUP(K32,【参考】数式用!$AR$3:$AS$49, 2, FALSE), "")</f>
        <v/>
      </c>
      <c r="AZ32" s="557" t="str">
        <f t="shared" si="16"/>
        <v/>
      </c>
      <c r="BA32" s="560" t="str">
        <f t="shared" si="6"/>
        <v>入力済</v>
      </c>
      <c r="BB32" s="540" t="str">
        <f>IFERROR(VLOOKUP(K32,【参考】数式用!$AX$3:$AY$59, 2, FALSE), "")</f>
        <v/>
      </c>
      <c r="BC32" s="557" t="str">
        <f t="shared" si="17"/>
        <v/>
      </c>
      <c r="BD32" s="560" t="str">
        <f t="shared" si="7"/>
        <v>入力済</v>
      </c>
      <c r="BE32" s="560" t="str">
        <f t="shared" si="18"/>
        <v/>
      </c>
      <c r="BF32" s="560" t="str">
        <f t="shared" si="19"/>
        <v/>
      </c>
      <c r="BG32" s="560" t="str">
        <f t="shared" si="20"/>
        <v/>
      </c>
      <c r="BH32" s="560" t="str">
        <f t="shared" si="8"/>
        <v/>
      </c>
      <c r="BI32" s="560" t="str">
        <f t="shared" si="9"/>
        <v/>
      </c>
      <c r="BK32" s="610"/>
      <c r="BL32" s="607" t="str">
        <f t="shared" si="21"/>
        <v/>
      </c>
      <c r="BM32" s="607" t="str">
        <f t="shared" si="22"/>
        <v/>
      </c>
      <c r="BN32" s="607" t="str">
        <f t="shared" si="23"/>
        <v/>
      </c>
      <c r="BO32" s="608" t="str">
        <f>IF(BM32="","",ROUNDDOWN(L32*VLOOKUP(K32,【参考】数式用!$A$4:$J$42,10,FALSE)*AA32,0))</f>
        <v/>
      </c>
      <c r="BP32" s="607" t="str">
        <f t="shared" si="24"/>
        <v/>
      </c>
      <c r="BQ32" s="607" t="str">
        <f t="shared" si="25"/>
        <v/>
      </c>
      <c r="BR32" s="609" t="str">
        <f t="shared" si="26"/>
        <v/>
      </c>
      <c r="BS32" s="609" t="str">
        <f t="shared" si="27"/>
        <v/>
      </c>
      <c r="BT32" s="607" t="str">
        <f t="shared" si="28"/>
        <v/>
      </c>
      <c r="BU32" s="608" t="str">
        <f>IF(BT32="Ⅱロ有り",ROUNDDOWN(L32*VLOOKUP(K32,【参考】数式用!$A$4:$J$42,10,FALSE)*AA32,0),"")</f>
        <v/>
      </c>
      <c r="BV32" s="607" t="str">
        <f>IF(BT32="Ⅱロなし",ROUNDDOWN(L32*VLOOKUP(K32,【参考】数式用!$A$4:$J$42,8,FALSE)*AA32,0),"")</f>
        <v/>
      </c>
    </row>
    <row r="33" spans="1:74" s="257" customFormat="1" ht="109.9" customHeight="1" thickBot="1">
      <c r="A33" s="303">
        <v>20</v>
      </c>
      <c r="B33" s="956" t="str">
        <f>IF(基本情報入力シート!B55="","",基本情報入力シート!B55)</f>
        <v/>
      </c>
      <c r="C33" s="957"/>
      <c r="D33" s="957"/>
      <c r="E33" s="957"/>
      <c r="F33" s="958"/>
      <c r="G33" s="304" t="str">
        <f>IF(基本情報入力シート!L55="", "", 基本情報入力シート!L55)</f>
        <v/>
      </c>
      <c r="H33" s="304" t="str">
        <f>IF(基本情報入力シート!Q55="", "", 基本情報入力シート!Q55)</f>
        <v/>
      </c>
      <c r="I33" s="304" t="str">
        <f>IF(基本情報入力シート!V55="", "", 基本情報入力シート!V55)</f>
        <v/>
      </c>
      <c r="J33" s="304" t="str">
        <f>IF(基本情報入力シート!W55="", "", 基本情報入力シート!W55)</f>
        <v/>
      </c>
      <c r="K33" s="304" t="str">
        <f>IF(基本情報入力シート!Z55="", "", 基本情報入力シート!Z55)</f>
        <v/>
      </c>
      <c r="L33" s="558" t="str">
        <f>IF(基本情報入力シート!AF55=0, "",基本情報入力シート!AF55)</f>
        <v/>
      </c>
      <c r="M33" s="524" t="str">
        <f>IF('別紙様式2-2（個票（４、５月））'!M33="","",'別紙様式2-2（個票（４、５月））'!M33)</f>
        <v/>
      </c>
      <c r="N33" s="523" t="str">
        <f>IF('別紙様式2-2（個票（４、５月））'!N33="","",'別紙様式2-2（個票（４、５月））'!N33)</f>
        <v/>
      </c>
      <c r="O33" s="286"/>
      <c r="P33" s="555" t="str">
        <f>IFERROR(VLOOKUP(K33,【参考】数式用!$A$2:$M$57,MATCH(O33,【参考】数式用!$G$3:$M$3,0)+6,0),"")</f>
        <v/>
      </c>
      <c r="Q33" s="310" t="s">
        <v>118</v>
      </c>
      <c r="R33" s="308"/>
      <c r="S33" s="309" t="s">
        <v>183</v>
      </c>
      <c r="T33" s="308"/>
      <c r="U33" s="309" t="s">
        <v>184</v>
      </c>
      <c r="V33" s="308"/>
      <c r="W33" s="309" t="s">
        <v>183</v>
      </c>
      <c r="X33" s="308"/>
      <c r="Y33" s="309" t="s">
        <v>185</v>
      </c>
      <c r="Z33" s="309" t="s">
        <v>186</v>
      </c>
      <c r="AA33" s="309" t="str">
        <f t="shared" si="29"/>
        <v/>
      </c>
      <c r="AB33" s="305" t="s">
        <v>187</v>
      </c>
      <c r="AC33" s="306" t="str">
        <f t="shared" si="10"/>
        <v/>
      </c>
      <c r="AD33" s="515" t="str">
        <f t="shared" si="11"/>
        <v/>
      </c>
      <c r="AE33" s="307" t="str">
        <f>IFERROR(ROUNDDOWN(ROUNDDOWN(ROUND(L33*VLOOKUP(K33,【参考】数式用!$A$2:$M$57,MATCH("処遇改善加算Ⅳ",【参考】数式用!$G$3:$M$3,0)+6,0),0),0)*AA33*0.5,0), "")</f>
        <v/>
      </c>
      <c r="AF33" s="318"/>
      <c r="AG33" s="319"/>
      <c r="AH33" s="319"/>
      <c r="AI33" s="318"/>
      <c r="AJ33" s="320"/>
      <c r="AK33" s="326"/>
      <c r="AL33" s="324" t="str">
        <f t="shared" si="0"/>
        <v/>
      </c>
      <c r="AM33" s="325" t="str">
        <f t="shared" si="12"/>
        <v/>
      </c>
      <c r="AN33" s="255"/>
      <c r="AO33" s="557" t="str">
        <f>IFERROR(VLOOKUP(K33,【参考】数式用!$A$2:$N$57,14,FALSE),"")</f>
        <v/>
      </c>
      <c r="AP33" s="557" t="str">
        <f t="shared" si="13"/>
        <v/>
      </c>
      <c r="AQ33" s="561" t="str">
        <f t="shared" si="1"/>
        <v/>
      </c>
      <c r="AR33" s="561" t="str">
        <f t="shared" si="30"/>
        <v>キャリアパス要件Ⅰ・Ⅱ_</v>
      </c>
      <c r="AS33" s="540" t="str">
        <f t="shared" si="2"/>
        <v>入力済</v>
      </c>
      <c r="AT33" s="557" t="str">
        <f t="shared" si="14"/>
        <v/>
      </c>
      <c r="AU33" s="540" t="str">
        <f t="shared" si="3"/>
        <v>入力済</v>
      </c>
      <c r="AV33" s="540" t="str">
        <f t="shared" si="4"/>
        <v/>
      </c>
      <c r="AW33" s="576" t="str">
        <f t="shared" si="15"/>
        <v/>
      </c>
      <c r="AX33" s="557" t="str">
        <f t="shared" si="5"/>
        <v/>
      </c>
      <c r="AY33" s="540" t="str">
        <f>IFERROR(VLOOKUP(K33,【参考】数式用!$AR$3:$AS$49, 2, FALSE), "")</f>
        <v/>
      </c>
      <c r="AZ33" s="557" t="str">
        <f t="shared" si="16"/>
        <v/>
      </c>
      <c r="BA33" s="560" t="str">
        <f t="shared" si="6"/>
        <v>入力済</v>
      </c>
      <c r="BB33" s="540" t="str">
        <f>IFERROR(VLOOKUP(K33,【参考】数式用!$AX$3:$AY$59, 2, FALSE), "")</f>
        <v/>
      </c>
      <c r="BC33" s="557" t="str">
        <f t="shared" si="17"/>
        <v/>
      </c>
      <c r="BD33" s="560" t="str">
        <f t="shared" si="7"/>
        <v>入力済</v>
      </c>
      <c r="BE33" s="560" t="str">
        <f t="shared" si="18"/>
        <v/>
      </c>
      <c r="BF33" s="560" t="str">
        <f t="shared" si="19"/>
        <v/>
      </c>
      <c r="BG33" s="560" t="str">
        <f t="shared" si="20"/>
        <v/>
      </c>
      <c r="BH33" s="560" t="str">
        <f t="shared" si="8"/>
        <v/>
      </c>
      <c r="BI33" s="560" t="str">
        <f t="shared" si="9"/>
        <v/>
      </c>
      <c r="BK33" s="610"/>
      <c r="BL33" s="607" t="str">
        <f t="shared" si="21"/>
        <v/>
      </c>
      <c r="BM33" s="607" t="str">
        <f t="shared" si="22"/>
        <v/>
      </c>
      <c r="BN33" s="607" t="str">
        <f t="shared" si="23"/>
        <v/>
      </c>
      <c r="BO33" s="608" t="str">
        <f>IF(BM33="","",ROUNDDOWN(L33*VLOOKUP(K33,【参考】数式用!$A$4:$J$42,10,FALSE)*AA33,0))</f>
        <v/>
      </c>
      <c r="BP33" s="607" t="str">
        <f t="shared" si="24"/>
        <v/>
      </c>
      <c r="BQ33" s="607" t="str">
        <f t="shared" si="25"/>
        <v/>
      </c>
      <c r="BR33" s="609" t="str">
        <f t="shared" si="26"/>
        <v/>
      </c>
      <c r="BS33" s="609" t="str">
        <f t="shared" si="27"/>
        <v/>
      </c>
      <c r="BT33" s="607" t="str">
        <f t="shared" si="28"/>
        <v/>
      </c>
      <c r="BU33" s="608" t="str">
        <f>IF(BT33="Ⅱロ有り",ROUNDDOWN(L33*VLOOKUP(K33,【参考】数式用!$A$4:$J$42,10,FALSE)*AA33,0),"")</f>
        <v/>
      </c>
      <c r="BV33" s="607" t="str">
        <f>IF(BT33="Ⅱロなし",ROUNDDOWN(L33*VLOOKUP(K33,【参考】数式用!$A$4:$J$42,8,FALSE)*AA33,0),"")</f>
        <v/>
      </c>
    </row>
    <row r="34" spans="1:74" s="257" customFormat="1" ht="109.9" customHeight="1" thickBot="1">
      <c r="A34" s="303">
        <v>21</v>
      </c>
      <c r="B34" s="956" t="str">
        <f>IF(基本情報入力シート!B56="","",基本情報入力シート!B56)</f>
        <v/>
      </c>
      <c r="C34" s="957"/>
      <c r="D34" s="957"/>
      <c r="E34" s="957"/>
      <c r="F34" s="958"/>
      <c r="G34" s="304" t="str">
        <f>IF(基本情報入力シート!L56="", "", 基本情報入力シート!L56)</f>
        <v/>
      </c>
      <c r="H34" s="304" t="str">
        <f>IF(基本情報入力シート!Q56="", "", 基本情報入力シート!Q56)</f>
        <v/>
      </c>
      <c r="I34" s="304" t="str">
        <f>IF(基本情報入力シート!V56="", "", 基本情報入力シート!V56)</f>
        <v/>
      </c>
      <c r="J34" s="304" t="str">
        <f>IF(基本情報入力シート!W56="", "", 基本情報入力シート!W56)</f>
        <v/>
      </c>
      <c r="K34" s="304" t="str">
        <f>IF(基本情報入力シート!Z56="", "", 基本情報入力シート!Z56)</f>
        <v/>
      </c>
      <c r="L34" s="558" t="str">
        <f>IF(基本情報入力シート!AF56=0, "",基本情報入力シート!AF56)</f>
        <v/>
      </c>
      <c r="M34" s="524" t="str">
        <f>IF('別紙様式2-2（個票（４、５月））'!M34="","",'別紙様式2-2（個票（４、５月））'!M34)</f>
        <v/>
      </c>
      <c r="N34" s="523" t="str">
        <f>IF('別紙様式2-2（個票（４、５月））'!N34="","",'別紙様式2-2（個票（４、５月））'!N34)</f>
        <v/>
      </c>
      <c r="O34" s="286"/>
      <c r="P34" s="555" t="str">
        <f>IFERROR(VLOOKUP(K34,【参考】数式用!$A$2:$M$57,MATCH(O34,【参考】数式用!$G$3:$M$3,0)+6,0),"")</f>
        <v/>
      </c>
      <c r="Q34" s="310" t="s">
        <v>118</v>
      </c>
      <c r="R34" s="308"/>
      <c r="S34" s="309" t="s">
        <v>183</v>
      </c>
      <c r="T34" s="308"/>
      <c r="U34" s="309" t="s">
        <v>184</v>
      </c>
      <c r="V34" s="308"/>
      <c r="W34" s="309" t="s">
        <v>183</v>
      </c>
      <c r="X34" s="308"/>
      <c r="Y34" s="309" t="s">
        <v>185</v>
      </c>
      <c r="Z34" s="309" t="s">
        <v>186</v>
      </c>
      <c r="AA34" s="309" t="str">
        <f t="shared" si="29"/>
        <v/>
      </c>
      <c r="AB34" s="305" t="s">
        <v>187</v>
      </c>
      <c r="AC34" s="306" t="str">
        <f t="shared" si="10"/>
        <v/>
      </c>
      <c r="AD34" s="515" t="str">
        <f t="shared" si="11"/>
        <v/>
      </c>
      <c r="AE34" s="307" t="str">
        <f>IFERROR(ROUNDDOWN(ROUNDDOWN(ROUND(L34*VLOOKUP(K34,【参考】数式用!$A$2:$M$57,MATCH("処遇改善加算Ⅳ",【参考】数式用!$G$3:$M$3,0)+6,0),0),0)*AA34*0.5,0), "")</f>
        <v/>
      </c>
      <c r="AF34" s="318"/>
      <c r="AG34" s="319"/>
      <c r="AH34" s="319"/>
      <c r="AI34" s="318"/>
      <c r="AJ34" s="320"/>
      <c r="AK34" s="326"/>
      <c r="AL34" s="324" t="str">
        <f t="shared" si="0"/>
        <v/>
      </c>
      <c r="AM34" s="325" t="str">
        <f t="shared" si="12"/>
        <v/>
      </c>
      <c r="AN34" s="255"/>
      <c r="AO34" s="557" t="str">
        <f>IFERROR(VLOOKUP(K34,【参考】数式用!$A$2:$N$57,14,FALSE),"")</f>
        <v/>
      </c>
      <c r="AP34" s="557" t="str">
        <f t="shared" si="13"/>
        <v/>
      </c>
      <c r="AQ34" s="561" t="str">
        <f t="shared" si="1"/>
        <v/>
      </c>
      <c r="AR34" s="561" t="str">
        <f t="shared" si="30"/>
        <v>キャリアパス要件Ⅰ・Ⅱ_</v>
      </c>
      <c r="AS34" s="540" t="str">
        <f t="shared" si="2"/>
        <v>入力済</v>
      </c>
      <c r="AT34" s="557" t="str">
        <f t="shared" si="14"/>
        <v/>
      </c>
      <c r="AU34" s="540" t="str">
        <f t="shared" si="3"/>
        <v>入力済</v>
      </c>
      <c r="AV34" s="540" t="str">
        <f t="shared" si="4"/>
        <v/>
      </c>
      <c r="AW34" s="576" t="str">
        <f t="shared" si="15"/>
        <v/>
      </c>
      <c r="AX34" s="557" t="str">
        <f t="shared" si="5"/>
        <v/>
      </c>
      <c r="AY34" s="540" t="str">
        <f>IFERROR(VLOOKUP(K34,【参考】数式用!$AR$3:$AS$49, 2, FALSE), "")</f>
        <v/>
      </c>
      <c r="AZ34" s="557" t="str">
        <f t="shared" si="16"/>
        <v/>
      </c>
      <c r="BA34" s="560" t="str">
        <f t="shared" si="6"/>
        <v>入力済</v>
      </c>
      <c r="BB34" s="540" t="str">
        <f>IFERROR(VLOOKUP(K34,【参考】数式用!$AX$3:$AY$59, 2, FALSE), "")</f>
        <v/>
      </c>
      <c r="BC34" s="557" t="str">
        <f t="shared" si="17"/>
        <v/>
      </c>
      <c r="BD34" s="560" t="str">
        <f t="shared" si="7"/>
        <v>入力済</v>
      </c>
      <c r="BE34" s="560" t="str">
        <f t="shared" si="18"/>
        <v/>
      </c>
      <c r="BF34" s="560" t="str">
        <f t="shared" si="19"/>
        <v/>
      </c>
      <c r="BG34" s="560" t="str">
        <f t="shared" si="20"/>
        <v/>
      </c>
      <c r="BH34" s="560" t="str">
        <f t="shared" si="8"/>
        <v/>
      </c>
      <c r="BI34" s="560" t="str">
        <f t="shared" si="9"/>
        <v/>
      </c>
      <c r="BK34" s="610"/>
      <c r="BL34" s="607" t="str">
        <f t="shared" si="21"/>
        <v/>
      </c>
      <c r="BM34" s="607" t="str">
        <f t="shared" si="22"/>
        <v/>
      </c>
      <c r="BN34" s="607" t="str">
        <f t="shared" si="23"/>
        <v/>
      </c>
      <c r="BO34" s="608" t="str">
        <f>IF(BM34="","",ROUNDDOWN(L34*VLOOKUP(K34,【参考】数式用!$A$4:$J$42,10,FALSE)*AA34,0))</f>
        <v/>
      </c>
      <c r="BP34" s="607" t="str">
        <f t="shared" si="24"/>
        <v/>
      </c>
      <c r="BQ34" s="607" t="str">
        <f t="shared" si="25"/>
        <v/>
      </c>
      <c r="BR34" s="609" t="str">
        <f t="shared" si="26"/>
        <v/>
      </c>
      <c r="BS34" s="609" t="str">
        <f t="shared" si="27"/>
        <v/>
      </c>
      <c r="BT34" s="607" t="str">
        <f t="shared" si="28"/>
        <v/>
      </c>
      <c r="BU34" s="608" t="str">
        <f>IF(BT34="Ⅱロ有り",ROUNDDOWN(L34*VLOOKUP(K34,【参考】数式用!$A$4:$J$42,10,FALSE)*AA34,0),"")</f>
        <v/>
      </c>
      <c r="BV34" s="607" t="str">
        <f>IF(BT34="Ⅱロなし",ROUNDDOWN(L34*VLOOKUP(K34,【参考】数式用!$A$4:$J$42,8,FALSE)*AA34,0),"")</f>
        <v/>
      </c>
    </row>
    <row r="35" spans="1:74" s="257" customFormat="1" ht="109.9" customHeight="1" thickBot="1">
      <c r="A35" s="303">
        <v>22</v>
      </c>
      <c r="B35" s="956" t="str">
        <f>IF(基本情報入力シート!B57="","",基本情報入力シート!B57)</f>
        <v/>
      </c>
      <c r="C35" s="957"/>
      <c r="D35" s="957"/>
      <c r="E35" s="957"/>
      <c r="F35" s="958"/>
      <c r="G35" s="304" t="str">
        <f>IF(基本情報入力シート!L57="", "", 基本情報入力シート!L57)</f>
        <v/>
      </c>
      <c r="H35" s="304" t="str">
        <f>IF(基本情報入力シート!Q57="", "", 基本情報入力シート!Q57)</f>
        <v/>
      </c>
      <c r="I35" s="304" t="str">
        <f>IF(基本情報入力シート!V57="", "", 基本情報入力シート!V57)</f>
        <v/>
      </c>
      <c r="J35" s="304" t="str">
        <f>IF(基本情報入力シート!W57="", "", 基本情報入力シート!W57)</f>
        <v/>
      </c>
      <c r="K35" s="304" t="str">
        <f>IF(基本情報入力シート!Z57="", "", 基本情報入力シート!Z57)</f>
        <v/>
      </c>
      <c r="L35" s="558" t="str">
        <f>IF(基本情報入力シート!AF57=0, "",基本情報入力シート!AF57)</f>
        <v/>
      </c>
      <c r="M35" s="524" t="str">
        <f>IF('別紙様式2-2（個票（４、５月））'!M35="","",'別紙様式2-2（個票（４、５月））'!M35)</f>
        <v/>
      </c>
      <c r="N35" s="523" t="str">
        <f>IF('別紙様式2-2（個票（４、５月））'!N35="","",'別紙様式2-2（個票（４、５月））'!N35)</f>
        <v/>
      </c>
      <c r="O35" s="286"/>
      <c r="P35" s="555" t="str">
        <f>IFERROR(VLOOKUP(K35,【参考】数式用!$A$2:$M$57,MATCH(O35,【参考】数式用!$G$3:$M$3,0)+6,0),"")</f>
        <v/>
      </c>
      <c r="Q35" s="310" t="s">
        <v>118</v>
      </c>
      <c r="R35" s="308"/>
      <c r="S35" s="309" t="s">
        <v>183</v>
      </c>
      <c r="T35" s="308"/>
      <c r="U35" s="309" t="s">
        <v>184</v>
      </c>
      <c r="V35" s="308"/>
      <c r="W35" s="309" t="s">
        <v>183</v>
      </c>
      <c r="X35" s="308"/>
      <c r="Y35" s="309" t="s">
        <v>120</v>
      </c>
      <c r="Z35" s="309" t="s">
        <v>186</v>
      </c>
      <c r="AA35" s="309" t="str">
        <f t="shared" si="29"/>
        <v/>
      </c>
      <c r="AB35" s="305" t="s">
        <v>187</v>
      </c>
      <c r="AC35" s="306" t="str">
        <f t="shared" si="10"/>
        <v/>
      </c>
      <c r="AD35" s="515" t="str">
        <f t="shared" si="11"/>
        <v/>
      </c>
      <c r="AE35" s="307" t="str">
        <f>IFERROR(ROUNDDOWN(ROUNDDOWN(ROUND(L35*VLOOKUP(K35,【参考】数式用!$A$2:$M$57,MATCH("処遇改善加算Ⅳ",【参考】数式用!$G$3:$M$3,0)+6,0),0),0)*AA35*0.5,0), "")</f>
        <v/>
      </c>
      <c r="AF35" s="318"/>
      <c r="AG35" s="319"/>
      <c r="AH35" s="319"/>
      <c r="AI35" s="318"/>
      <c r="AJ35" s="320"/>
      <c r="AK35" s="326"/>
      <c r="AL35" s="324" t="str">
        <f t="shared" si="0"/>
        <v/>
      </c>
      <c r="AM35" s="325" t="str">
        <f t="shared" si="12"/>
        <v/>
      </c>
      <c r="AN35" s="255"/>
      <c r="AO35" s="557" t="str">
        <f>IFERROR(VLOOKUP(K35,【参考】数式用!$A$2:$N$57,14,FALSE),"")</f>
        <v/>
      </c>
      <c r="AP35" s="557" t="str">
        <f t="shared" si="13"/>
        <v/>
      </c>
      <c r="AQ35" s="561" t="str">
        <f t="shared" si="1"/>
        <v/>
      </c>
      <c r="AR35" s="561" t="str">
        <f t="shared" si="30"/>
        <v>キャリアパス要件Ⅰ・Ⅱ_</v>
      </c>
      <c r="AS35" s="540" t="str">
        <f t="shared" si="2"/>
        <v>入力済</v>
      </c>
      <c r="AT35" s="557" t="str">
        <f t="shared" si="14"/>
        <v/>
      </c>
      <c r="AU35" s="540" t="str">
        <f t="shared" si="3"/>
        <v>入力済</v>
      </c>
      <c r="AV35" s="540" t="str">
        <f t="shared" si="4"/>
        <v/>
      </c>
      <c r="AW35" s="576" t="str">
        <f t="shared" si="15"/>
        <v/>
      </c>
      <c r="AX35" s="557" t="str">
        <f t="shared" si="5"/>
        <v/>
      </c>
      <c r="AY35" s="540" t="str">
        <f>IFERROR(VLOOKUP(K35,【参考】数式用!$AR$3:$AS$49, 2, FALSE), "")</f>
        <v/>
      </c>
      <c r="AZ35" s="557" t="str">
        <f t="shared" si="16"/>
        <v/>
      </c>
      <c r="BA35" s="560" t="str">
        <f t="shared" si="6"/>
        <v>入力済</v>
      </c>
      <c r="BB35" s="540" t="str">
        <f>IFERROR(VLOOKUP(K35,【参考】数式用!$AX$3:$AY$59, 2, FALSE), "")</f>
        <v/>
      </c>
      <c r="BC35" s="557" t="str">
        <f t="shared" si="17"/>
        <v/>
      </c>
      <c r="BD35" s="560" t="str">
        <f t="shared" si="7"/>
        <v>入力済</v>
      </c>
      <c r="BE35" s="560" t="str">
        <f t="shared" si="18"/>
        <v/>
      </c>
      <c r="BF35" s="560" t="str">
        <f t="shared" si="19"/>
        <v/>
      </c>
      <c r="BG35" s="560" t="str">
        <f t="shared" si="20"/>
        <v/>
      </c>
      <c r="BH35" s="560" t="str">
        <f t="shared" si="8"/>
        <v/>
      </c>
      <c r="BI35" s="560" t="str">
        <f t="shared" si="9"/>
        <v/>
      </c>
      <c r="BK35" s="610"/>
      <c r="BL35" s="607" t="str">
        <f t="shared" si="21"/>
        <v/>
      </c>
      <c r="BM35" s="607" t="str">
        <f t="shared" si="22"/>
        <v/>
      </c>
      <c r="BN35" s="607" t="str">
        <f t="shared" si="23"/>
        <v/>
      </c>
      <c r="BO35" s="608" t="str">
        <f>IF(BM35="","",ROUNDDOWN(L35*VLOOKUP(K35,【参考】数式用!$A$4:$J$42,10,FALSE)*AA35,0))</f>
        <v/>
      </c>
      <c r="BP35" s="607" t="str">
        <f t="shared" si="24"/>
        <v/>
      </c>
      <c r="BQ35" s="607" t="str">
        <f t="shared" si="25"/>
        <v/>
      </c>
      <c r="BR35" s="609" t="str">
        <f t="shared" si="26"/>
        <v/>
      </c>
      <c r="BS35" s="609" t="str">
        <f t="shared" si="27"/>
        <v/>
      </c>
      <c r="BT35" s="607" t="str">
        <f t="shared" si="28"/>
        <v/>
      </c>
      <c r="BU35" s="608" t="str">
        <f>IF(BT35="Ⅱロ有り",ROUNDDOWN(L35*VLOOKUP(K35,【参考】数式用!$A$4:$J$42,10,FALSE)*AA35,0),"")</f>
        <v/>
      </c>
      <c r="BV35" s="607" t="str">
        <f>IF(BT35="Ⅱロなし",ROUNDDOWN(L35*VLOOKUP(K35,【参考】数式用!$A$4:$J$42,8,FALSE)*AA35,0),"")</f>
        <v/>
      </c>
    </row>
    <row r="36" spans="1:74" s="257" customFormat="1" ht="109.9" customHeight="1" thickBot="1">
      <c r="A36" s="303">
        <v>23</v>
      </c>
      <c r="B36" s="956" t="str">
        <f>IF(基本情報入力シート!B58="","",基本情報入力シート!B58)</f>
        <v/>
      </c>
      <c r="C36" s="957"/>
      <c r="D36" s="957"/>
      <c r="E36" s="957"/>
      <c r="F36" s="958"/>
      <c r="G36" s="304" t="str">
        <f>IF(基本情報入力シート!L58="", "", 基本情報入力シート!L58)</f>
        <v/>
      </c>
      <c r="H36" s="304" t="str">
        <f>IF(基本情報入力シート!Q58="", "", 基本情報入力シート!Q58)</f>
        <v/>
      </c>
      <c r="I36" s="304" t="str">
        <f>IF(基本情報入力シート!V58="", "", 基本情報入力シート!V58)</f>
        <v/>
      </c>
      <c r="J36" s="304" t="str">
        <f>IF(基本情報入力シート!W58="", "", 基本情報入力シート!W58)</f>
        <v/>
      </c>
      <c r="K36" s="304" t="str">
        <f>IF(基本情報入力シート!Z58="", "", 基本情報入力シート!Z58)</f>
        <v/>
      </c>
      <c r="L36" s="558" t="str">
        <f>IF(基本情報入力シート!AF58=0, "",基本情報入力シート!AF58)</f>
        <v/>
      </c>
      <c r="M36" s="524" t="str">
        <f>IF('別紙様式2-2（個票（４、５月））'!M36="","",'別紙様式2-2（個票（４、５月））'!M36)</f>
        <v/>
      </c>
      <c r="N36" s="523" t="str">
        <f>IF('別紙様式2-2（個票（４、５月））'!N36="","",'別紙様式2-2（個票（４、５月））'!N36)</f>
        <v/>
      </c>
      <c r="O36" s="286"/>
      <c r="P36" s="555" t="str">
        <f>IFERROR(VLOOKUP(K36,【参考】数式用!$A$2:$M$57,MATCH(O36,【参考】数式用!$G$3:$M$3,0)+6,0),"")</f>
        <v/>
      </c>
      <c r="Q36" s="310" t="s">
        <v>118</v>
      </c>
      <c r="R36" s="308"/>
      <c r="S36" s="309" t="s">
        <v>183</v>
      </c>
      <c r="T36" s="308"/>
      <c r="U36" s="309" t="s">
        <v>184</v>
      </c>
      <c r="V36" s="308"/>
      <c r="W36" s="309" t="s">
        <v>183</v>
      </c>
      <c r="X36" s="308"/>
      <c r="Y36" s="309" t="s">
        <v>120</v>
      </c>
      <c r="Z36" s="309" t="s">
        <v>186</v>
      </c>
      <c r="AA36" s="309" t="str">
        <f t="shared" si="29"/>
        <v/>
      </c>
      <c r="AB36" s="305" t="s">
        <v>187</v>
      </c>
      <c r="AC36" s="306" t="str">
        <f t="shared" si="10"/>
        <v/>
      </c>
      <c r="AD36" s="515" t="str">
        <f t="shared" si="11"/>
        <v/>
      </c>
      <c r="AE36" s="307" t="str">
        <f>IFERROR(ROUNDDOWN(ROUNDDOWN(ROUND(L36*VLOOKUP(K36,【参考】数式用!$A$2:$M$57,MATCH("処遇改善加算Ⅳ",【参考】数式用!$G$3:$M$3,0)+6,0),0),0)*AA36*0.5,0), "")</f>
        <v/>
      </c>
      <c r="AF36" s="318"/>
      <c r="AG36" s="319"/>
      <c r="AH36" s="319"/>
      <c r="AI36" s="318"/>
      <c r="AJ36" s="320"/>
      <c r="AK36" s="326"/>
      <c r="AL36" s="324" t="str">
        <f t="shared" si="0"/>
        <v/>
      </c>
      <c r="AM36" s="325" t="str">
        <f t="shared" si="12"/>
        <v/>
      </c>
      <c r="AN36" s="255"/>
      <c r="AO36" s="557" t="str">
        <f>IFERROR(VLOOKUP(K36,【参考】数式用!$A$2:$N$57,14,FALSE),"")</f>
        <v/>
      </c>
      <c r="AP36" s="557" t="str">
        <f t="shared" si="13"/>
        <v/>
      </c>
      <c r="AQ36" s="561" t="str">
        <f t="shared" si="1"/>
        <v/>
      </c>
      <c r="AR36" s="561" t="str">
        <f t="shared" si="30"/>
        <v>キャリアパス要件Ⅰ・Ⅱ_</v>
      </c>
      <c r="AS36" s="540" t="str">
        <f t="shared" si="2"/>
        <v>入力済</v>
      </c>
      <c r="AT36" s="557" t="str">
        <f t="shared" si="14"/>
        <v/>
      </c>
      <c r="AU36" s="540" t="str">
        <f t="shared" si="3"/>
        <v>入力済</v>
      </c>
      <c r="AV36" s="540" t="str">
        <f t="shared" si="4"/>
        <v/>
      </c>
      <c r="AW36" s="576" t="str">
        <f t="shared" si="15"/>
        <v/>
      </c>
      <c r="AX36" s="557" t="str">
        <f t="shared" si="5"/>
        <v/>
      </c>
      <c r="AY36" s="540" t="str">
        <f>IFERROR(VLOOKUP(K36,【参考】数式用!$AR$3:$AS$49, 2, FALSE), "")</f>
        <v/>
      </c>
      <c r="AZ36" s="557" t="str">
        <f t="shared" si="16"/>
        <v/>
      </c>
      <c r="BA36" s="560" t="str">
        <f t="shared" si="6"/>
        <v>入力済</v>
      </c>
      <c r="BB36" s="540" t="str">
        <f>IFERROR(VLOOKUP(K36,【参考】数式用!$AX$3:$AY$59, 2, FALSE), "")</f>
        <v/>
      </c>
      <c r="BC36" s="557" t="str">
        <f t="shared" si="17"/>
        <v/>
      </c>
      <c r="BD36" s="560" t="str">
        <f t="shared" si="7"/>
        <v>入力済</v>
      </c>
      <c r="BE36" s="560" t="str">
        <f t="shared" si="18"/>
        <v/>
      </c>
      <c r="BF36" s="560" t="str">
        <f t="shared" si="19"/>
        <v/>
      </c>
      <c r="BG36" s="560" t="str">
        <f t="shared" si="20"/>
        <v/>
      </c>
      <c r="BH36" s="560" t="str">
        <f t="shared" si="8"/>
        <v/>
      </c>
      <c r="BI36" s="560" t="str">
        <f t="shared" si="9"/>
        <v/>
      </c>
      <c r="BK36" s="610"/>
      <c r="BL36" s="607" t="str">
        <f t="shared" si="21"/>
        <v/>
      </c>
      <c r="BM36" s="607" t="str">
        <f t="shared" si="22"/>
        <v/>
      </c>
      <c r="BN36" s="607" t="str">
        <f t="shared" si="23"/>
        <v/>
      </c>
      <c r="BO36" s="608" t="str">
        <f>IF(BM36="","",ROUNDDOWN(L36*VLOOKUP(K36,【参考】数式用!$A$4:$J$42,10,FALSE)*AA36,0))</f>
        <v/>
      </c>
      <c r="BP36" s="607" t="str">
        <f t="shared" si="24"/>
        <v/>
      </c>
      <c r="BQ36" s="607" t="str">
        <f t="shared" si="25"/>
        <v/>
      </c>
      <c r="BR36" s="609" t="str">
        <f t="shared" si="26"/>
        <v/>
      </c>
      <c r="BS36" s="609" t="str">
        <f t="shared" si="27"/>
        <v/>
      </c>
      <c r="BT36" s="607" t="str">
        <f t="shared" si="28"/>
        <v/>
      </c>
      <c r="BU36" s="608" t="str">
        <f>IF(BT36="Ⅱロ有り",ROUNDDOWN(L36*VLOOKUP(K36,【参考】数式用!$A$4:$J$42,10,FALSE)*AA36,0),"")</f>
        <v/>
      </c>
      <c r="BV36" s="607" t="str">
        <f>IF(BT36="Ⅱロなし",ROUNDDOWN(L36*VLOOKUP(K36,【参考】数式用!$A$4:$J$42,8,FALSE)*AA36,0),"")</f>
        <v/>
      </c>
    </row>
    <row r="37" spans="1:74" s="257" customFormat="1" ht="109.9" customHeight="1" thickBot="1">
      <c r="A37" s="303">
        <v>24</v>
      </c>
      <c r="B37" s="956" t="str">
        <f>IF(基本情報入力シート!B59="","",基本情報入力シート!B59)</f>
        <v/>
      </c>
      <c r="C37" s="957"/>
      <c r="D37" s="957"/>
      <c r="E37" s="957"/>
      <c r="F37" s="958"/>
      <c r="G37" s="304" t="str">
        <f>IF(基本情報入力シート!L59="", "", 基本情報入力シート!L59)</f>
        <v/>
      </c>
      <c r="H37" s="304" t="str">
        <f>IF(基本情報入力シート!Q59="", "", 基本情報入力シート!Q59)</f>
        <v/>
      </c>
      <c r="I37" s="304" t="str">
        <f>IF(基本情報入力シート!V59="", "", 基本情報入力シート!V59)</f>
        <v/>
      </c>
      <c r="J37" s="304" t="str">
        <f>IF(基本情報入力シート!W59="", "", 基本情報入力シート!W59)</f>
        <v/>
      </c>
      <c r="K37" s="304" t="str">
        <f>IF(基本情報入力シート!Z59="", "", 基本情報入力シート!Z59)</f>
        <v/>
      </c>
      <c r="L37" s="558" t="str">
        <f>IF(基本情報入力シート!AF59=0, "",基本情報入力シート!AF59)</f>
        <v/>
      </c>
      <c r="M37" s="524" t="str">
        <f>IF('別紙様式2-2（個票（４、５月））'!M37="","",'別紙様式2-2（個票（４、５月））'!M37)</f>
        <v/>
      </c>
      <c r="N37" s="523" t="str">
        <f>IF('別紙様式2-2（個票（４、５月））'!N37="","",'別紙様式2-2（個票（４、５月））'!N37)</f>
        <v/>
      </c>
      <c r="O37" s="286"/>
      <c r="P37" s="555" t="str">
        <f>IFERROR(VLOOKUP(K37,【参考】数式用!$A$2:$M$57,MATCH(O37,【参考】数式用!$G$3:$M$3,0)+6,0),"")</f>
        <v/>
      </c>
      <c r="Q37" s="310" t="s">
        <v>118</v>
      </c>
      <c r="R37" s="308"/>
      <c r="S37" s="309" t="s">
        <v>183</v>
      </c>
      <c r="T37" s="308"/>
      <c r="U37" s="309" t="s">
        <v>184</v>
      </c>
      <c r="V37" s="308"/>
      <c r="W37" s="309" t="s">
        <v>183</v>
      </c>
      <c r="X37" s="308"/>
      <c r="Y37" s="309" t="s">
        <v>185</v>
      </c>
      <c r="Z37" s="309" t="s">
        <v>186</v>
      </c>
      <c r="AA37" s="309" t="str">
        <f t="shared" si="29"/>
        <v/>
      </c>
      <c r="AB37" s="305" t="s">
        <v>187</v>
      </c>
      <c r="AC37" s="306" t="str">
        <f t="shared" si="10"/>
        <v/>
      </c>
      <c r="AD37" s="515" t="str">
        <f t="shared" si="11"/>
        <v/>
      </c>
      <c r="AE37" s="307" t="str">
        <f>IFERROR(ROUNDDOWN(ROUNDDOWN(ROUND(L37*VLOOKUP(K37,【参考】数式用!$A$2:$M$57,MATCH("処遇改善加算Ⅳ",【参考】数式用!$G$3:$M$3,0)+6,0),0),0)*AA37*0.5,0), "")</f>
        <v/>
      </c>
      <c r="AF37" s="318"/>
      <c r="AG37" s="319"/>
      <c r="AH37" s="319"/>
      <c r="AI37" s="318"/>
      <c r="AJ37" s="320"/>
      <c r="AK37" s="326"/>
      <c r="AL37" s="324" t="str">
        <f t="shared" si="0"/>
        <v/>
      </c>
      <c r="AM37" s="325" t="str">
        <f t="shared" si="12"/>
        <v/>
      </c>
      <c r="AN37" s="255"/>
      <c r="AO37" s="557" t="str">
        <f>IFERROR(VLOOKUP(K37,【参考】数式用!$A$2:$N$57,14,FALSE),"")</f>
        <v/>
      </c>
      <c r="AP37" s="557" t="str">
        <f t="shared" si="13"/>
        <v/>
      </c>
      <c r="AQ37" s="561" t="str">
        <f t="shared" si="1"/>
        <v/>
      </c>
      <c r="AR37" s="561" t="str">
        <f t="shared" si="30"/>
        <v>キャリアパス要件Ⅰ・Ⅱ_</v>
      </c>
      <c r="AS37" s="540" t="str">
        <f t="shared" si="2"/>
        <v>入力済</v>
      </c>
      <c r="AT37" s="557" t="str">
        <f t="shared" si="14"/>
        <v/>
      </c>
      <c r="AU37" s="540" t="str">
        <f t="shared" si="3"/>
        <v>入力済</v>
      </c>
      <c r="AV37" s="540" t="str">
        <f t="shared" si="4"/>
        <v/>
      </c>
      <c r="AW37" s="576" t="str">
        <f t="shared" si="15"/>
        <v/>
      </c>
      <c r="AX37" s="557" t="str">
        <f t="shared" si="5"/>
        <v/>
      </c>
      <c r="AY37" s="540" t="str">
        <f>IFERROR(VLOOKUP(K37,【参考】数式用!$AR$3:$AS$49, 2, FALSE), "")</f>
        <v/>
      </c>
      <c r="AZ37" s="557" t="str">
        <f t="shared" si="16"/>
        <v/>
      </c>
      <c r="BA37" s="560" t="str">
        <f t="shared" si="6"/>
        <v>入力済</v>
      </c>
      <c r="BB37" s="540" t="str">
        <f>IFERROR(VLOOKUP(K37,【参考】数式用!$AX$3:$AY$59, 2, FALSE), "")</f>
        <v/>
      </c>
      <c r="BC37" s="557" t="str">
        <f t="shared" si="17"/>
        <v/>
      </c>
      <c r="BD37" s="560" t="str">
        <f t="shared" si="7"/>
        <v>入力済</v>
      </c>
      <c r="BE37" s="560" t="str">
        <f t="shared" si="18"/>
        <v/>
      </c>
      <c r="BF37" s="560" t="str">
        <f t="shared" si="19"/>
        <v/>
      </c>
      <c r="BG37" s="560" t="str">
        <f t="shared" si="20"/>
        <v/>
      </c>
      <c r="BH37" s="560" t="str">
        <f t="shared" si="8"/>
        <v/>
      </c>
      <c r="BI37" s="560" t="str">
        <f t="shared" si="9"/>
        <v/>
      </c>
      <c r="BK37" s="610"/>
      <c r="BL37" s="607" t="str">
        <f t="shared" si="21"/>
        <v/>
      </c>
      <c r="BM37" s="607" t="str">
        <f t="shared" si="22"/>
        <v/>
      </c>
      <c r="BN37" s="607" t="str">
        <f t="shared" si="23"/>
        <v/>
      </c>
      <c r="BO37" s="608" t="str">
        <f>IF(BM37="","",ROUNDDOWN(L37*VLOOKUP(K37,【参考】数式用!$A$4:$J$42,10,FALSE)*AA37,0))</f>
        <v/>
      </c>
      <c r="BP37" s="607" t="str">
        <f t="shared" si="24"/>
        <v/>
      </c>
      <c r="BQ37" s="607" t="str">
        <f t="shared" si="25"/>
        <v/>
      </c>
      <c r="BR37" s="609" t="str">
        <f t="shared" si="26"/>
        <v/>
      </c>
      <c r="BS37" s="609" t="str">
        <f t="shared" si="27"/>
        <v/>
      </c>
      <c r="BT37" s="607" t="str">
        <f t="shared" si="28"/>
        <v/>
      </c>
      <c r="BU37" s="608" t="str">
        <f>IF(BT37="Ⅱロ有り",ROUNDDOWN(L37*VLOOKUP(K37,【参考】数式用!$A$4:$J$42,10,FALSE)*AA37,0),"")</f>
        <v/>
      </c>
      <c r="BV37" s="607" t="str">
        <f>IF(BT37="Ⅱロなし",ROUNDDOWN(L37*VLOOKUP(K37,【参考】数式用!$A$4:$J$42,8,FALSE)*AA37,0),"")</f>
        <v/>
      </c>
    </row>
    <row r="38" spans="1:74" s="257" customFormat="1" ht="109.9" customHeight="1" thickBot="1">
      <c r="A38" s="303">
        <v>25</v>
      </c>
      <c r="B38" s="956" t="str">
        <f>IF(基本情報入力シート!B60="","",基本情報入力シート!B60)</f>
        <v/>
      </c>
      <c r="C38" s="957"/>
      <c r="D38" s="957"/>
      <c r="E38" s="957"/>
      <c r="F38" s="958"/>
      <c r="G38" s="304" t="str">
        <f>IF(基本情報入力シート!L60="", "", 基本情報入力シート!L60)</f>
        <v/>
      </c>
      <c r="H38" s="304" t="str">
        <f>IF(基本情報入力シート!Q60="", "", 基本情報入力シート!Q60)</f>
        <v/>
      </c>
      <c r="I38" s="304" t="str">
        <f>IF(基本情報入力シート!V60="", "", 基本情報入力シート!V60)</f>
        <v/>
      </c>
      <c r="J38" s="304" t="str">
        <f>IF(基本情報入力シート!W60="", "", 基本情報入力シート!W60)</f>
        <v/>
      </c>
      <c r="K38" s="304" t="str">
        <f>IF(基本情報入力シート!Z60="", "", 基本情報入力シート!Z60)</f>
        <v/>
      </c>
      <c r="L38" s="558" t="str">
        <f>IF(基本情報入力シート!AF60=0, "",基本情報入力シート!AF60)</f>
        <v/>
      </c>
      <c r="M38" s="524" t="str">
        <f>IF('別紙様式2-2（個票（４、５月））'!M38="","",'別紙様式2-2（個票（４、５月））'!M38)</f>
        <v/>
      </c>
      <c r="N38" s="523" t="str">
        <f>IF('別紙様式2-2（個票（４、５月））'!N38="","",'別紙様式2-2（個票（４、５月））'!N38)</f>
        <v/>
      </c>
      <c r="O38" s="286"/>
      <c r="P38" s="555" t="str">
        <f>IFERROR(VLOOKUP(K38,【参考】数式用!$A$2:$M$57,MATCH(O38,【参考】数式用!$G$3:$M$3,0)+6,0),"")</f>
        <v/>
      </c>
      <c r="Q38" s="310" t="s">
        <v>118</v>
      </c>
      <c r="R38" s="308"/>
      <c r="S38" s="309" t="s">
        <v>183</v>
      </c>
      <c r="T38" s="308"/>
      <c r="U38" s="309" t="s">
        <v>184</v>
      </c>
      <c r="V38" s="308"/>
      <c r="W38" s="309" t="s">
        <v>183</v>
      </c>
      <c r="X38" s="308"/>
      <c r="Y38" s="309" t="s">
        <v>185</v>
      </c>
      <c r="Z38" s="309" t="s">
        <v>186</v>
      </c>
      <c r="AA38" s="309" t="str">
        <f t="shared" si="29"/>
        <v/>
      </c>
      <c r="AB38" s="305" t="s">
        <v>187</v>
      </c>
      <c r="AC38" s="306" t="str">
        <f t="shared" si="10"/>
        <v/>
      </c>
      <c r="AD38" s="515" t="str">
        <f t="shared" si="11"/>
        <v/>
      </c>
      <c r="AE38" s="307" t="str">
        <f>IFERROR(ROUNDDOWN(ROUNDDOWN(ROUND(L38*VLOOKUP(K38,【参考】数式用!$A$2:$M$57,MATCH("処遇改善加算Ⅳ",【参考】数式用!$G$3:$M$3,0)+6,0),0),0)*AA38*0.5,0), "")</f>
        <v/>
      </c>
      <c r="AF38" s="318"/>
      <c r="AG38" s="319"/>
      <c r="AH38" s="319"/>
      <c r="AI38" s="318"/>
      <c r="AJ38" s="320"/>
      <c r="AK38" s="326"/>
      <c r="AL38" s="324" t="str">
        <f t="shared" si="0"/>
        <v/>
      </c>
      <c r="AM38" s="325" t="str">
        <f t="shared" si="12"/>
        <v/>
      </c>
      <c r="AN38" s="255"/>
      <c r="AO38" s="557" t="str">
        <f>IFERROR(VLOOKUP(K38,【参考】数式用!$A$2:$N$57,14,FALSE),"")</f>
        <v/>
      </c>
      <c r="AP38" s="557" t="str">
        <f t="shared" si="13"/>
        <v/>
      </c>
      <c r="AQ38" s="561" t="str">
        <f t="shared" si="1"/>
        <v/>
      </c>
      <c r="AR38" s="561" t="str">
        <f t="shared" si="30"/>
        <v>キャリアパス要件Ⅰ・Ⅱ_</v>
      </c>
      <c r="AS38" s="540" t="str">
        <f t="shared" si="2"/>
        <v>入力済</v>
      </c>
      <c r="AT38" s="557" t="str">
        <f t="shared" si="14"/>
        <v/>
      </c>
      <c r="AU38" s="540" t="str">
        <f t="shared" si="3"/>
        <v>入力済</v>
      </c>
      <c r="AV38" s="540" t="str">
        <f t="shared" si="4"/>
        <v/>
      </c>
      <c r="AW38" s="576" t="str">
        <f t="shared" si="15"/>
        <v/>
      </c>
      <c r="AX38" s="557" t="str">
        <f t="shared" si="5"/>
        <v/>
      </c>
      <c r="AY38" s="540" t="str">
        <f>IFERROR(VLOOKUP(K38,【参考】数式用!$AR$3:$AS$49, 2, FALSE), "")</f>
        <v/>
      </c>
      <c r="AZ38" s="557" t="str">
        <f t="shared" si="16"/>
        <v/>
      </c>
      <c r="BA38" s="560" t="str">
        <f t="shared" si="6"/>
        <v>入力済</v>
      </c>
      <c r="BB38" s="540" t="str">
        <f>IFERROR(VLOOKUP(K38,【参考】数式用!$AX$3:$AY$59, 2, FALSE), "")</f>
        <v/>
      </c>
      <c r="BC38" s="557" t="str">
        <f t="shared" si="17"/>
        <v/>
      </c>
      <c r="BD38" s="560" t="str">
        <f t="shared" si="7"/>
        <v>入力済</v>
      </c>
      <c r="BE38" s="560" t="str">
        <f t="shared" si="18"/>
        <v/>
      </c>
      <c r="BF38" s="560" t="str">
        <f t="shared" si="19"/>
        <v/>
      </c>
      <c r="BG38" s="560" t="str">
        <f t="shared" si="20"/>
        <v/>
      </c>
      <c r="BH38" s="560" t="str">
        <f t="shared" si="8"/>
        <v/>
      </c>
      <c r="BI38" s="560" t="str">
        <f t="shared" si="9"/>
        <v/>
      </c>
      <c r="BK38" s="610"/>
      <c r="BL38" s="607" t="str">
        <f t="shared" si="21"/>
        <v/>
      </c>
      <c r="BM38" s="607" t="str">
        <f t="shared" si="22"/>
        <v/>
      </c>
      <c r="BN38" s="607" t="str">
        <f t="shared" si="23"/>
        <v/>
      </c>
      <c r="BO38" s="608" t="str">
        <f>IF(BM38="","",ROUNDDOWN(L38*VLOOKUP(K38,【参考】数式用!$A$4:$J$42,10,FALSE)*AA38,0))</f>
        <v/>
      </c>
      <c r="BP38" s="607" t="str">
        <f t="shared" si="24"/>
        <v/>
      </c>
      <c r="BQ38" s="607" t="str">
        <f t="shared" si="25"/>
        <v/>
      </c>
      <c r="BR38" s="609" t="str">
        <f t="shared" si="26"/>
        <v/>
      </c>
      <c r="BS38" s="609" t="str">
        <f t="shared" si="27"/>
        <v/>
      </c>
      <c r="BT38" s="607" t="str">
        <f t="shared" si="28"/>
        <v/>
      </c>
      <c r="BU38" s="608" t="str">
        <f>IF(BT38="Ⅱロ有り",ROUNDDOWN(L38*VLOOKUP(K38,【参考】数式用!$A$4:$J$42,10,FALSE)*AA38,0),"")</f>
        <v/>
      </c>
      <c r="BV38" s="607" t="str">
        <f>IF(BT38="Ⅱロなし",ROUNDDOWN(L38*VLOOKUP(K38,【参考】数式用!$A$4:$J$42,8,FALSE)*AA38,0),"")</f>
        <v/>
      </c>
    </row>
    <row r="39" spans="1:74" s="257" customFormat="1" ht="109.9" customHeight="1" thickBot="1">
      <c r="A39" s="303">
        <v>26</v>
      </c>
      <c r="B39" s="956" t="str">
        <f>IF(基本情報入力シート!B61="","",基本情報入力シート!B61)</f>
        <v/>
      </c>
      <c r="C39" s="957"/>
      <c r="D39" s="957"/>
      <c r="E39" s="957"/>
      <c r="F39" s="958"/>
      <c r="G39" s="304" t="str">
        <f>IF(基本情報入力シート!L61="", "", 基本情報入力シート!L61)</f>
        <v/>
      </c>
      <c r="H39" s="304" t="str">
        <f>IF(基本情報入力シート!Q61="", "", 基本情報入力シート!Q61)</f>
        <v/>
      </c>
      <c r="I39" s="304" t="str">
        <f>IF(基本情報入力シート!V61="", "", 基本情報入力シート!V61)</f>
        <v/>
      </c>
      <c r="J39" s="304" t="str">
        <f>IF(基本情報入力シート!W61="", "", 基本情報入力シート!W61)</f>
        <v/>
      </c>
      <c r="K39" s="304" t="str">
        <f>IF(基本情報入力シート!Z61="", "", 基本情報入力シート!Z61)</f>
        <v/>
      </c>
      <c r="L39" s="558" t="str">
        <f>IF(基本情報入力シート!AF61=0, "",基本情報入力シート!AF61)</f>
        <v/>
      </c>
      <c r="M39" s="524" t="str">
        <f>IF('別紙様式2-2（個票（４、５月））'!M39="","",'別紙様式2-2（個票（４、５月））'!M39)</f>
        <v/>
      </c>
      <c r="N39" s="523" t="str">
        <f>IF('別紙様式2-2（個票（４、５月））'!N39="","",'別紙様式2-2（個票（４、５月））'!N39)</f>
        <v/>
      </c>
      <c r="O39" s="286"/>
      <c r="P39" s="555" t="str">
        <f>IFERROR(VLOOKUP(K39,【参考】数式用!$A$2:$M$57,MATCH(O39,【参考】数式用!$G$3:$M$3,0)+6,0),"")</f>
        <v/>
      </c>
      <c r="Q39" s="310" t="s">
        <v>118</v>
      </c>
      <c r="R39" s="308"/>
      <c r="S39" s="309" t="s">
        <v>183</v>
      </c>
      <c r="T39" s="308"/>
      <c r="U39" s="309" t="s">
        <v>184</v>
      </c>
      <c r="V39" s="308"/>
      <c r="W39" s="309" t="s">
        <v>183</v>
      </c>
      <c r="X39" s="308"/>
      <c r="Y39" s="309" t="s">
        <v>185</v>
      </c>
      <c r="Z39" s="309" t="s">
        <v>186</v>
      </c>
      <c r="AA39" s="309" t="str">
        <f t="shared" si="29"/>
        <v/>
      </c>
      <c r="AB39" s="305" t="s">
        <v>187</v>
      </c>
      <c r="AC39" s="306" t="str">
        <f t="shared" si="10"/>
        <v/>
      </c>
      <c r="AD39" s="515" t="str">
        <f t="shared" si="11"/>
        <v/>
      </c>
      <c r="AE39" s="307" t="str">
        <f>IFERROR(ROUNDDOWN(ROUNDDOWN(ROUND(L39*VLOOKUP(K39,【参考】数式用!$A$2:$M$57,MATCH("処遇改善加算Ⅳ",【参考】数式用!$G$3:$M$3,0)+6,0),0),0)*AA39*0.5,0), "")</f>
        <v/>
      </c>
      <c r="AF39" s="318"/>
      <c r="AG39" s="319"/>
      <c r="AH39" s="319"/>
      <c r="AI39" s="318"/>
      <c r="AJ39" s="320"/>
      <c r="AK39" s="326"/>
      <c r="AL39" s="324" t="str">
        <f t="shared" si="0"/>
        <v/>
      </c>
      <c r="AM39" s="325" t="str">
        <f t="shared" si="12"/>
        <v/>
      </c>
      <c r="AN39" s="255"/>
      <c r="AO39" s="557" t="str">
        <f>IFERROR(VLOOKUP(K39,【参考】数式用!$A$2:$N$57,14,FALSE),"")</f>
        <v/>
      </c>
      <c r="AP39" s="557" t="str">
        <f t="shared" si="13"/>
        <v/>
      </c>
      <c r="AQ39" s="561" t="str">
        <f t="shared" si="1"/>
        <v/>
      </c>
      <c r="AR39" s="561" t="str">
        <f t="shared" si="30"/>
        <v>キャリアパス要件Ⅰ・Ⅱ_</v>
      </c>
      <c r="AS39" s="540" t="str">
        <f t="shared" si="2"/>
        <v>入力済</v>
      </c>
      <c r="AT39" s="557" t="str">
        <f t="shared" si="14"/>
        <v/>
      </c>
      <c r="AU39" s="540" t="str">
        <f t="shared" si="3"/>
        <v>入力済</v>
      </c>
      <c r="AV39" s="540" t="str">
        <f t="shared" si="4"/>
        <v/>
      </c>
      <c r="AW39" s="576" t="str">
        <f t="shared" si="15"/>
        <v/>
      </c>
      <c r="AX39" s="557" t="str">
        <f t="shared" si="5"/>
        <v/>
      </c>
      <c r="AY39" s="540" t="str">
        <f>IFERROR(VLOOKUP(K39,【参考】数式用!$AR$3:$AS$49, 2, FALSE), "")</f>
        <v/>
      </c>
      <c r="AZ39" s="557" t="str">
        <f t="shared" si="16"/>
        <v/>
      </c>
      <c r="BA39" s="560" t="str">
        <f t="shared" si="6"/>
        <v>入力済</v>
      </c>
      <c r="BB39" s="540" t="str">
        <f>IFERROR(VLOOKUP(K39,【参考】数式用!$AX$3:$AY$59, 2, FALSE), "")</f>
        <v/>
      </c>
      <c r="BC39" s="557" t="str">
        <f t="shared" si="17"/>
        <v/>
      </c>
      <c r="BD39" s="560" t="str">
        <f t="shared" si="7"/>
        <v>入力済</v>
      </c>
      <c r="BE39" s="560" t="str">
        <f t="shared" si="18"/>
        <v/>
      </c>
      <c r="BF39" s="560" t="str">
        <f t="shared" si="19"/>
        <v/>
      </c>
      <c r="BG39" s="560" t="str">
        <f t="shared" si="20"/>
        <v/>
      </c>
      <c r="BH39" s="560" t="str">
        <f t="shared" si="8"/>
        <v/>
      </c>
      <c r="BI39" s="560" t="str">
        <f t="shared" si="9"/>
        <v/>
      </c>
      <c r="BK39" s="610"/>
      <c r="BL39" s="607" t="str">
        <f t="shared" si="21"/>
        <v/>
      </c>
      <c r="BM39" s="607" t="str">
        <f t="shared" si="22"/>
        <v/>
      </c>
      <c r="BN39" s="607" t="str">
        <f t="shared" si="23"/>
        <v/>
      </c>
      <c r="BO39" s="608" t="str">
        <f>IF(BM39="","",ROUNDDOWN(L39*VLOOKUP(K39,【参考】数式用!$A$4:$J$42,10,FALSE)*AA39,0))</f>
        <v/>
      </c>
      <c r="BP39" s="607" t="str">
        <f t="shared" si="24"/>
        <v/>
      </c>
      <c r="BQ39" s="607" t="str">
        <f t="shared" si="25"/>
        <v/>
      </c>
      <c r="BR39" s="609" t="str">
        <f t="shared" si="26"/>
        <v/>
      </c>
      <c r="BS39" s="609" t="str">
        <f t="shared" si="27"/>
        <v/>
      </c>
      <c r="BT39" s="607" t="str">
        <f t="shared" si="28"/>
        <v/>
      </c>
      <c r="BU39" s="608" t="str">
        <f>IF(BT39="Ⅱロ有り",ROUNDDOWN(L39*VLOOKUP(K39,【参考】数式用!$A$4:$J$42,10,FALSE)*AA39,0),"")</f>
        <v/>
      </c>
      <c r="BV39" s="607" t="str">
        <f>IF(BT39="Ⅱロなし",ROUNDDOWN(L39*VLOOKUP(K39,【参考】数式用!$A$4:$J$42,8,FALSE)*AA39,0),"")</f>
        <v/>
      </c>
    </row>
    <row r="40" spans="1:74" s="257" customFormat="1" ht="109.9" customHeight="1" thickBot="1">
      <c r="A40" s="303">
        <v>27</v>
      </c>
      <c r="B40" s="956" t="str">
        <f>IF(基本情報入力シート!B62="","",基本情報入力シート!B62)</f>
        <v/>
      </c>
      <c r="C40" s="957"/>
      <c r="D40" s="957"/>
      <c r="E40" s="957"/>
      <c r="F40" s="958"/>
      <c r="G40" s="304" t="str">
        <f>IF(基本情報入力シート!L62="", "", 基本情報入力シート!L62)</f>
        <v/>
      </c>
      <c r="H40" s="304" t="str">
        <f>IF(基本情報入力シート!Q62="", "", 基本情報入力シート!Q62)</f>
        <v/>
      </c>
      <c r="I40" s="304" t="str">
        <f>IF(基本情報入力シート!V62="", "", 基本情報入力シート!V62)</f>
        <v/>
      </c>
      <c r="J40" s="304" t="str">
        <f>IF(基本情報入力シート!W62="", "", 基本情報入力シート!W62)</f>
        <v/>
      </c>
      <c r="K40" s="304" t="str">
        <f>IF(基本情報入力シート!Z62="", "", 基本情報入力シート!Z62)</f>
        <v/>
      </c>
      <c r="L40" s="558" t="str">
        <f>IF(基本情報入力シート!AF62=0, "",基本情報入力シート!AF62)</f>
        <v/>
      </c>
      <c r="M40" s="524" t="str">
        <f>IF('別紙様式2-2（個票（４、５月））'!M40="","",'別紙様式2-2（個票（４、５月））'!M40)</f>
        <v/>
      </c>
      <c r="N40" s="523" t="str">
        <f>IF('別紙様式2-2（個票（４、５月））'!N40="","",'別紙様式2-2（個票（４、５月））'!N40)</f>
        <v/>
      </c>
      <c r="O40" s="286"/>
      <c r="P40" s="555" t="str">
        <f>IFERROR(VLOOKUP(K40,【参考】数式用!$A$2:$M$57,MATCH(O40,【参考】数式用!$G$3:$M$3,0)+6,0),"")</f>
        <v/>
      </c>
      <c r="Q40" s="310" t="s">
        <v>118</v>
      </c>
      <c r="R40" s="308"/>
      <c r="S40" s="309" t="s">
        <v>183</v>
      </c>
      <c r="T40" s="308"/>
      <c r="U40" s="309" t="s">
        <v>184</v>
      </c>
      <c r="V40" s="308"/>
      <c r="W40" s="309" t="s">
        <v>183</v>
      </c>
      <c r="X40" s="308"/>
      <c r="Y40" s="309" t="s">
        <v>120</v>
      </c>
      <c r="Z40" s="309" t="s">
        <v>186</v>
      </c>
      <c r="AA40" s="309" t="str">
        <f t="shared" si="29"/>
        <v/>
      </c>
      <c r="AB40" s="305" t="s">
        <v>187</v>
      </c>
      <c r="AC40" s="306" t="str">
        <f t="shared" si="10"/>
        <v/>
      </c>
      <c r="AD40" s="515" t="str">
        <f t="shared" si="11"/>
        <v/>
      </c>
      <c r="AE40" s="307" t="str">
        <f>IFERROR(ROUNDDOWN(ROUNDDOWN(ROUND(L40*VLOOKUP(K40,【参考】数式用!$A$2:$M$57,MATCH("処遇改善加算Ⅳ",【参考】数式用!$G$3:$M$3,0)+6,0),0),0)*AA40*0.5,0), "")</f>
        <v/>
      </c>
      <c r="AF40" s="318"/>
      <c r="AG40" s="319"/>
      <c r="AH40" s="319"/>
      <c r="AI40" s="318"/>
      <c r="AJ40" s="320"/>
      <c r="AK40" s="326"/>
      <c r="AL40" s="324" t="str">
        <f t="shared" si="0"/>
        <v/>
      </c>
      <c r="AM40" s="325" t="str">
        <f t="shared" si="12"/>
        <v/>
      </c>
      <c r="AN40" s="255"/>
      <c r="AO40" s="557" t="str">
        <f>IFERROR(VLOOKUP(K40,【参考】数式用!$A$2:$N$57,14,FALSE),"")</f>
        <v/>
      </c>
      <c r="AP40" s="557" t="str">
        <f t="shared" si="13"/>
        <v/>
      </c>
      <c r="AQ40" s="561" t="str">
        <f t="shared" si="1"/>
        <v/>
      </c>
      <c r="AR40" s="561" t="str">
        <f t="shared" si="30"/>
        <v>キャリアパス要件Ⅰ・Ⅱ_</v>
      </c>
      <c r="AS40" s="540" t="str">
        <f t="shared" si="2"/>
        <v>入力済</v>
      </c>
      <c r="AT40" s="557" t="str">
        <f t="shared" si="14"/>
        <v/>
      </c>
      <c r="AU40" s="540" t="str">
        <f t="shared" si="3"/>
        <v>入力済</v>
      </c>
      <c r="AV40" s="540" t="str">
        <f t="shared" si="4"/>
        <v/>
      </c>
      <c r="AW40" s="576" t="str">
        <f t="shared" si="15"/>
        <v/>
      </c>
      <c r="AX40" s="557" t="str">
        <f t="shared" si="5"/>
        <v/>
      </c>
      <c r="AY40" s="540" t="str">
        <f>IFERROR(VLOOKUP(K40,【参考】数式用!$AR$3:$AS$49, 2, FALSE), "")</f>
        <v/>
      </c>
      <c r="AZ40" s="557" t="str">
        <f t="shared" si="16"/>
        <v/>
      </c>
      <c r="BA40" s="560" t="str">
        <f t="shared" si="6"/>
        <v>入力済</v>
      </c>
      <c r="BB40" s="540" t="str">
        <f>IFERROR(VLOOKUP(K40,【参考】数式用!$AX$3:$AY$59, 2, FALSE), "")</f>
        <v/>
      </c>
      <c r="BC40" s="557" t="str">
        <f t="shared" si="17"/>
        <v/>
      </c>
      <c r="BD40" s="560" t="str">
        <f t="shared" si="7"/>
        <v>入力済</v>
      </c>
      <c r="BE40" s="560" t="str">
        <f t="shared" si="18"/>
        <v/>
      </c>
      <c r="BF40" s="560" t="str">
        <f t="shared" si="19"/>
        <v/>
      </c>
      <c r="BG40" s="560" t="str">
        <f t="shared" si="20"/>
        <v/>
      </c>
      <c r="BH40" s="560" t="str">
        <f t="shared" si="8"/>
        <v/>
      </c>
      <c r="BI40" s="560" t="str">
        <f t="shared" si="9"/>
        <v/>
      </c>
      <c r="BK40" s="610"/>
      <c r="BL40" s="607" t="str">
        <f t="shared" si="21"/>
        <v/>
      </c>
      <c r="BM40" s="607" t="str">
        <f t="shared" si="22"/>
        <v/>
      </c>
      <c r="BN40" s="607" t="str">
        <f t="shared" si="23"/>
        <v/>
      </c>
      <c r="BO40" s="608" t="str">
        <f>IF(BM40="","",ROUNDDOWN(L40*VLOOKUP(K40,【参考】数式用!$A$4:$J$42,10,FALSE)*AA40,0))</f>
        <v/>
      </c>
      <c r="BP40" s="607" t="str">
        <f t="shared" si="24"/>
        <v/>
      </c>
      <c r="BQ40" s="607" t="str">
        <f t="shared" si="25"/>
        <v/>
      </c>
      <c r="BR40" s="609" t="str">
        <f t="shared" si="26"/>
        <v/>
      </c>
      <c r="BS40" s="609" t="str">
        <f t="shared" si="27"/>
        <v/>
      </c>
      <c r="BT40" s="607" t="str">
        <f t="shared" si="28"/>
        <v/>
      </c>
      <c r="BU40" s="608" t="str">
        <f>IF(BT40="Ⅱロ有り",ROUNDDOWN(L40*VLOOKUP(K40,【参考】数式用!$A$4:$J$42,10,FALSE)*AA40,0),"")</f>
        <v/>
      </c>
      <c r="BV40" s="607" t="str">
        <f>IF(BT40="Ⅱロなし",ROUNDDOWN(L40*VLOOKUP(K40,【参考】数式用!$A$4:$J$42,8,FALSE)*AA40,0),"")</f>
        <v/>
      </c>
    </row>
    <row r="41" spans="1:74" s="257" customFormat="1" ht="109.9" customHeight="1" thickBot="1">
      <c r="A41" s="303">
        <v>28</v>
      </c>
      <c r="B41" s="956" t="str">
        <f>IF(基本情報入力シート!B63="","",基本情報入力シート!B63)</f>
        <v/>
      </c>
      <c r="C41" s="957"/>
      <c r="D41" s="957"/>
      <c r="E41" s="957"/>
      <c r="F41" s="958"/>
      <c r="G41" s="304" t="str">
        <f>IF(基本情報入力シート!L63="", "", 基本情報入力シート!L63)</f>
        <v/>
      </c>
      <c r="H41" s="304" t="str">
        <f>IF(基本情報入力シート!Q63="", "", 基本情報入力シート!Q63)</f>
        <v/>
      </c>
      <c r="I41" s="304" t="str">
        <f>IF(基本情報入力シート!V63="", "", 基本情報入力シート!V63)</f>
        <v/>
      </c>
      <c r="J41" s="304" t="str">
        <f>IF(基本情報入力シート!W63="", "", 基本情報入力シート!W63)</f>
        <v/>
      </c>
      <c r="K41" s="304" t="str">
        <f>IF(基本情報入力シート!Z63="", "", 基本情報入力シート!Z63)</f>
        <v/>
      </c>
      <c r="L41" s="558" t="str">
        <f>IF(基本情報入力シート!AF63=0, "",基本情報入力シート!AF63)</f>
        <v/>
      </c>
      <c r="M41" s="524" t="str">
        <f>IF('別紙様式2-2（個票（４、５月））'!M41="","",'別紙様式2-2（個票（４、５月））'!M41)</f>
        <v/>
      </c>
      <c r="N41" s="523" t="str">
        <f>IF('別紙様式2-2（個票（４、５月））'!N41="","",'別紙様式2-2（個票（４、５月））'!N41)</f>
        <v/>
      </c>
      <c r="O41" s="286"/>
      <c r="P41" s="555" t="str">
        <f>IFERROR(VLOOKUP(K41,【参考】数式用!$A$2:$M$57,MATCH(O41,【参考】数式用!$G$3:$M$3,0)+6,0),"")</f>
        <v/>
      </c>
      <c r="Q41" s="310" t="s">
        <v>118</v>
      </c>
      <c r="R41" s="308"/>
      <c r="S41" s="309" t="s">
        <v>183</v>
      </c>
      <c r="T41" s="308"/>
      <c r="U41" s="309" t="s">
        <v>184</v>
      </c>
      <c r="V41" s="308"/>
      <c r="W41" s="309" t="s">
        <v>183</v>
      </c>
      <c r="X41" s="308"/>
      <c r="Y41" s="309" t="s">
        <v>185</v>
      </c>
      <c r="Z41" s="309" t="s">
        <v>186</v>
      </c>
      <c r="AA41" s="309" t="str">
        <f t="shared" si="29"/>
        <v/>
      </c>
      <c r="AB41" s="305" t="s">
        <v>187</v>
      </c>
      <c r="AC41" s="306" t="str">
        <f t="shared" si="10"/>
        <v/>
      </c>
      <c r="AD41" s="515" t="str">
        <f t="shared" si="11"/>
        <v/>
      </c>
      <c r="AE41" s="307" t="str">
        <f>IFERROR(ROUNDDOWN(ROUNDDOWN(ROUND(L41*VLOOKUP(K41,【参考】数式用!$A$2:$M$57,MATCH("処遇改善加算Ⅳ",【参考】数式用!$G$3:$M$3,0)+6,0),0),0)*AA41*0.5,0), "")</f>
        <v/>
      </c>
      <c r="AF41" s="318"/>
      <c r="AG41" s="319"/>
      <c r="AH41" s="319"/>
      <c r="AI41" s="318"/>
      <c r="AJ41" s="320"/>
      <c r="AK41" s="326"/>
      <c r="AL41" s="324" t="str">
        <f t="shared" si="0"/>
        <v/>
      </c>
      <c r="AM41" s="325" t="str">
        <f t="shared" si="12"/>
        <v/>
      </c>
      <c r="AN41" s="255"/>
      <c r="AO41" s="557" t="str">
        <f>IFERROR(VLOOKUP(K41,【参考】数式用!$A$2:$N$57,14,FALSE),"")</f>
        <v/>
      </c>
      <c r="AP41" s="557" t="str">
        <f t="shared" si="13"/>
        <v/>
      </c>
      <c r="AQ41" s="561" t="str">
        <f t="shared" si="1"/>
        <v/>
      </c>
      <c r="AR41" s="561" t="str">
        <f t="shared" si="30"/>
        <v>キャリアパス要件Ⅰ・Ⅱ_</v>
      </c>
      <c r="AS41" s="540" t="str">
        <f t="shared" si="2"/>
        <v>入力済</v>
      </c>
      <c r="AT41" s="557" t="str">
        <f t="shared" si="14"/>
        <v/>
      </c>
      <c r="AU41" s="540" t="str">
        <f t="shared" si="3"/>
        <v>入力済</v>
      </c>
      <c r="AV41" s="540" t="str">
        <f t="shared" si="4"/>
        <v/>
      </c>
      <c r="AW41" s="576" t="str">
        <f t="shared" si="15"/>
        <v/>
      </c>
      <c r="AX41" s="557" t="str">
        <f t="shared" si="5"/>
        <v/>
      </c>
      <c r="AY41" s="540" t="str">
        <f>IFERROR(VLOOKUP(K41,【参考】数式用!$AR$3:$AS$49, 2, FALSE), "")</f>
        <v/>
      </c>
      <c r="AZ41" s="557" t="str">
        <f t="shared" si="16"/>
        <v/>
      </c>
      <c r="BA41" s="560" t="str">
        <f t="shared" si="6"/>
        <v>入力済</v>
      </c>
      <c r="BB41" s="540" t="str">
        <f>IFERROR(VLOOKUP(K41,【参考】数式用!$AX$3:$AY$59, 2, FALSE), "")</f>
        <v/>
      </c>
      <c r="BC41" s="557" t="str">
        <f t="shared" si="17"/>
        <v/>
      </c>
      <c r="BD41" s="560" t="str">
        <f t="shared" si="7"/>
        <v>入力済</v>
      </c>
      <c r="BE41" s="560" t="str">
        <f t="shared" si="18"/>
        <v/>
      </c>
      <c r="BF41" s="560" t="str">
        <f t="shared" si="19"/>
        <v/>
      </c>
      <c r="BG41" s="560" t="str">
        <f t="shared" si="20"/>
        <v/>
      </c>
      <c r="BH41" s="560" t="str">
        <f t="shared" si="8"/>
        <v/>
      </c>
      <c r="BI41" s="560" t="str">
        <f t="shared" si="9"/>
        <v/>
      </c>
      <c r="BK41" s="610"/>
      <c r="BL41" s="607" t="str">
        <f t="shared" si="21"/>
        <v/>
      </c>
      <c r="BM41" s="607" t="str">
        <f t="shared" si="22"/>
        <v/>
      </c>
      <c r="BN41" s="607" t="str">
        <f t="shared" si="23"/>
        <v/>
      </c>
      <c r="BO41" s="608" t="str">
        <f>IF(BM41="","",ROUNDDOWN(L41*VLOOKUP(K41,【参考】数式用!$A$4:$J$42,10,FALSE)*AA41,0))</f>
        <v/>
      </c>
      <c r="BP41" s="607" t="str">
        <f t="shared" si="24"/>
        <v/>
      </c>
      <c r="BQ41" s="607" t="str">
        <f t="shared" si="25"/>
        <v/>
      </c>
      <c r="BR41" s="609" t="str">
        <f t="shared" si="26"/>
        <v/>
      </c>
      <c r="BS41" s="609" t="str">
        <f t="shared" si="27"/>
        <v/>
      </c>
      <c r="BT41" s="607" t="str">
        <f t="shared" si="28"/>
        <v/>
      </c>
      <c r="BU41" s="608" t="str">
        <f>IF(BT41="Ⅱロ有り",ROUNDDOWN(L41*VLOOKUP(K41,【参考】数式用!$A$4:$J$42,10,FALSE)*AA41,0),"")</f>
        <v/>
      </c>
      <c r="BV41" s="607" t="str">
        <f>IF(BT41="Ⅱロなし",ROUNDDOWN(L41*VLOOKUP(K41,【参考】数式用!$A$4:$J$42,8,FALSE)*AA41,0),"")</f>
        <v/>
      </c>
    </row>
    <row r="42" spans="1:74" ht="109.9" customHeight="1" thickBot="1">
      <c r="A42" s="303">
        <v>29</v>
      </c>
      <c r="B42" s="956" t="str">
        <f>IF(基本情報入力シート!B64="","",基本情報入力シート!B64)</f>
        <v/>
      </c>
      <c r="C42" s="957"/>
      <c r="D42" s="957"/>
      <c r="E42" s="957"/>
      <c r="F42" s="958"/>
      <c r="G42" s="304" t="str">
        <f>IF(基本情報入力シート!L64="", "", 基本情報入力シート!L64)</f>
        <v/>
      </c>
      <c r="H42" s="304" t="str">
        <f>IF(基本情報入力シート!Q64="", "", 基本情報入力シート!Q64)</f>
        <v/>
      </c>
      <c r="I42" s="304" t="str">
        <f>IF(基本情報入力シート!V64="", "", 基本情報入力シート!V64)</f>
        <v/>
      </c>
      <c r="J42" s="304" t="str">
        <f>IF(基本情報入力シート!W64="", "", 基本情報入力シート!W64)</f>
        <v/>
      </c>
      <c r="K42" s="304" t="str">
        <f>IF(基本情報入力シート!Z64="", "", 基本情報入力シート!Z64)</f>
        <v/>
      </c>
      <c r="L42" s="558" t="str">
        <f>IF(基本情報入力シート!AF64=0, "",基本情報入力シート!AF64)</f>
        <v/>
      </c>
      <c r="M42" s="524" t="str">
        <f>IF('別紙様式2-2（個票（４、５月））'!M42="","",'別紙様式2-2（個票（４、５月））'!M42)</f>
        <v/>
      </c>
      <c r="N42" s="523" t="str">
        <f>IF('別紙様式2-2（個票（４、５月））'!N42="","",'別紙様式2-2（個票（４、５月））'!N42)</f>
        <v/>
      </c>
      <c r="O42" s="286"/>
      <c r="P42" s="555" t="str">
        <f>IFERROR(VLOOKUP(K42,【参考】数式用!$A$2:$M$57,MATCH(O42,【参考】数式用!$G$3:$M$3,0)+6,0),"")</f>
        <v/>
      </c>
      <c r="Q42" s="310" t="s">
        <v>118</v>
      </c>
      <c r="R42" s="308"/>
      <c r="S42" s="309" t="s">
        <v>183</v>
      </c>
      <c r="T42" s="308"/>
      <c r="U42" s="309" t="s">
        <v>184</v>
      </c>
      <c r="V42" s="308"/>
      <c r="W42" s="309" t="s">
        <v>183</v>
      </c>
      <c r="X42" s="308"/>
      <c r="Y42" s="309" t="s">
        <v>185</v>
      </c>
      <c r="Z42" s="309" t="s">
        <v>186</v>
      </c>
      <c r="AA42" s="309" t="str">
        <f t="shared" si="29"/>
        <v/>
      </c>
      <c r="AB42" s="305" t="s">
        <v>187</v>
      </c>
      <c r="AC42" s="306" t="str">
        <f t="shared" si="10"/>
        <v/>
      </c>
      <c r="AD42" s="515" t="str">
        <f t="shared" si="11"/>
        <v/>
      </c>
      <c r="AE42" s="307" t="str">
        <f>IFERROR(ROUNDDOWN(ROUNDDOWN(ROUND(L42*VLOOKUP(K42,【参考】数式用!$A$2:$M$57,MATCH("処遇改善加算Ⅳ",【参考】数式用!$G$3:$M$3,0)+6,0),0),0)*AA42*0.5,0), "")</f>
        <v/>
      </c>
      <c r="AF42" s="318"/>
      <c r="AG42" s="319"/>
      <c r="AH42" s="319"/>
      <c r="AI42" s="318"/>
      <c r="AJ42" s="320"/>
      <c r="AK42" s="326"/>
      <c r="AL42" s="324" t="str">
        <f t="shared" si="0"/>
        <v/>
      </c>
      <c r="AM42" s="325" t="str">
        <f t="shared" si="12"/>
        <v/>
      </c>
      <c r="AN42" s="255"/>
      <c r="AO42" s="557" t="str">
        <f>IFERROR(VLOOKUP(K42,【参考】数式用!$A$2:$N$57,14,FALSE),"")</f>
        <v/>
      </c>
      <c r="AP42" s="557" t="str">
        <f t="shared" si="13"/>
        <v/>
      </c>
      <c r="AQ42" s="561" t="str">
        <f t="shared" si="1"/>
        <v/>
      </c>
      <c r="AR42" s="561" t="str">
        <f t="shared" si="30"/>
        <v>キャリアパス要件Ⅰ・Ⅱ_</v>
      </c>
      <c r="AS42" s="540" t="str">
        <f t="shared" si="2"/>
        <v>入力済</v>
      </c>
      <c r="AT42" s="557" t="str">
        <f t="shared" si="14"/>
        <v/>
      </c>
      <c r="AU42" s="540" t="str">
        <f t="shared" si="3"/>
        <v>入力済</v>
      </c>
      <c r="AV42" s="540" t="str">
        <f t="shared" si="4"/>
        <v/>
      </c>
      <c r="AW42" s="576" t="str">
        <f t="shared" si="15"/>
        <v/>
      </c>
      <c r="AX42" s="557" t="str">
        <f t="shared" si="5"/>
        <v/>
      </c>
      <c r="AY42" s="540" t="str">
        <f>IFERROR(VLOOKUP(K42,【参考】数式用!$AR$3:$AS$49, 2, FALSE), "")</f>
        <v/>
      </c>
      <c r="AZ42" s="557" t="str">
        <f t="shared" si="16"/>
        <v/>
      </c>
      <c r="BA42" s="560" t="str">
        <f t="shared" si="6"/>
        <v>入力済</v>
      </c>
      <c r="BB42" s="540" t="str">
        <f>IFERROR(VLOOKUP(K42,【参考】数式用!$AX$3:$AY$59, 2, FALSE), "")</f>
        <v/>
      </c>
      <c r="BC42" s="557" t="str">
        <f t="shared" si="17"/>
        <v/>
      </c>
      <c r="BD42" s="560" t="str">
        <f t="shared" si="7"/>
        <v>入力済</v>
      </c>
      <c r="BE42" s="560" t="str">
        <f t="shared" si="18"/>
        <v/>
      </c>
      <c r="BF42" s="560" t="str">
        <f t="shared" si="19"/>
        <v/>
      </c>
      <c r="BG42" s="560" t="str">
        <f t="shared" si="20"/>
        <v/>
      </c>
      <c r="BH42" s="560" t="str">
        <f t="shared" si="8"/>
        <v/>
      </c>
      <c r="BI42" s="560" t="str">
        <f t="shared" si="9"/>
        <v/>
      </c>
      <c r="BK42" s="27"/>
      <c r="BL42" s="607" t="str">
        <f t="shared" si="21"/>
        <v/>
      </c>
      <c r="BM42" s="607" t="str">
        <f t="shared" si="22"/>
        <v/>
      </c>
      <c r="BN42" s="607" t="str">
        <f t="shared" si="23"/>
        <v/>
      </c>
      <c r="BO42" s="608" t="str">
        <f>IF(BM42="","",ROUNDDOWN(L42*VLOOKUP(K42,【参考】数式用!$A$4:$J$42,10,FALSE)*AA42,0))</f>
        <v/>
      </c>
      <c r="BP42" s="607" t="str">
        <f t="shared" si="24"/>
        <v/>
      </c>
      <c r="BQ42" s="607" t="str">
        <f t="shared" si="25"/>
        <v/>
      </c>
      <c r="BR42" s="609" t="str">
        <f t="shared" si="26"/>
        <v/>
      </c>
      <c r="BS42" s="609" t="str">
        <f t="shared" si="27"/>
        <v/>
      </c>
      <c r="BT42" s="607" t="str">
        <f t="shared" si="28"/>
        <v/>
      </c>
      <c r="BU42" s="608" t="str">
        <f>IF(BT42="Ⅱロ有り",ROUNDDOWN(L42*VLOOKUP(K42,【参考】数式用!$A$4:$J$42,10,FALSE)*AA42,0),"")</f>
        <v/>
      </c>
      <c r="BV42" s="607" t="str">
        <f>IF(BT42="Ⅱロなし",ROUNDDOWN(L42*VLOOKUP(K42,【参考】数式用!$A$4:$J$42,8,FALSE)*AA42,0),"")</f>
        <v/>
      </c>
    </row>
    <row r="43" spans="1:74" ht="109.9" customHeight="1" thickBot="1">
      <c r="A43" s="303">
        <v>30</v>
      </c>
      <c r="B43" s="956" t="str">
        <f>IF(基本情報入力シート!B65="","",基本情報入力シート!B65)</f>
        <v/>
      </c>
      <c r="C43" s="957"/>
      <c r="D43" s="957"/>
      <c r="E43" s="957"/>
      <c r="F43" s="958"/>
      <c r="G43" s="304" t="str">
        <f>IF(基本情報入力シート!L65="", "", 基本情報入力シート!L65)</f>
        <v/>
      </c>
      <c r="H43" s="304" t="str">
        <f>IF(基本情報入力シート!Q65="", "", 基本情報入力シート!Q65)</f>
        <v/>
      </c>
      <c r="I43" s="304" t="str">
        <f>IF(基本情報入力シート!V65="", "", 基本情報入力シート!V65)</f>
        <v/>
      </c>
      <c r="J43" s="304" t="str">
        <f>IF(基本情報入力シート!W65="", "", 基本情報入力シート!W65)</f>
        <v/>
      </c>
      <c r="K43" s="304" t="str">
        <f>IF(基本情報入力シート!Z65="", "", 基本情報入力シート!Z65)</f>
        <v/>
      </c>
      <c r="L43" s="558" t="str">
        <f>IF(基本情報入力シート!AF65=0, "",基本情報入力シート!AF65)</f>
        <v/>
      </c>
      <c r="M43" s="524" t="str">
        <f>IF('別紙様式2-2（個票（４、５月））'!M43="","",'別紙様式2-2（個票（４、５月））'!M43)</f>
        <v/>
      </c>
      <c r="N43" s="523" t="str">
        <f>IF('別紙様式2-2（個票（４、５月））'!N43="","",'別紙様式2-2（個票（４、５月））'!N43)</f>
        <v/>
      </c>
      <c r="O43" s="286"/>
      <c r="P43" s="555" t="str">
        <f>IFERROR(VLOOKUP(K43,【参考】数式用!$A$2:$M$57,MATCH(O43,【参考】数式用!$G$3:$M$3,0)+6,0),"")</f>
        <v/>
      </c>
      <c r="Q43" s="310" t="s">
        <v>118</v>
      </c>
      <c r="R43" s="308"/>
      <c r="S43" s="309" t="s">
        <v>183</v>
      </c>
      <c r="T43" s="308"/>
      <c r="U43" s="309" t="s">
        <v>184</v>
      </c>
      <c r="V43" s="308"/>
      <c r="W43" s="309" t="s">
        <v>183</v>
      </c>
      <c r="X43" s="308"/>
      <c r="Y43" s="309" t="s">
        <v>185</v>
      </c>
      <c r="Z43" s="309" t="s">
        <v>186</v>
      </c>
      <c r="AA43" s="309" t="str">
        <f t="shared" si="29"/>
        <v/>
      </c>
      <c r="AB43" s="305" t="s">
        <v>187</v>
      </c>
      <c r="AC43" s="306" t="str">
        <f t="shared" si="10"/>
        <v/>
      </c>
      <c r="AD43" s="515" t="str">
        <f t="shared" si="11"/>
        <v/>
      </c>
      <c r="AE43" s="307" t="str">
        <f>IFERROR(ROUNDDOWN(ROUNDDOWN(ROUND(L43*VLOOKUP(K43,【参考】数式用!$A$2:$M$57,MATCH("処遇改善加算Ⅳ",【参考】数式用!$G$3:$M$3,0)+6,0),0),0)*AA43*0.5,0), "")</f>
        <v/>
      </c>
      <c r="AF43" s="318"/>
      <c r="AG43" s="319"/>
      <c r="AH43" s="319"/>
      <c r="AI43" s="318"/>
      <c r="AJ43" s="320"/>
      <c r="AK43" s="326"/>
      <c r="AL43" s="324" t="str">
        <f t="shared" si="0"/>
        <v/>
      </c>
      <c r="AM43" s="325" t="str">
        <f t="shared" si="12"/>
        <v/>
      </c>
      <c r="AN43" s="255"/>
      <c r="AO43" s="557" t="str">
        <f>IFERROR(VLOOKUP(K43,【参考】数式用!$A$2:$N$57,14,FALSE),"")</f>
        <v/>
      </c>
      <c r="AP43" s="557" t="str">
        <f t="shared" si="13"/>
        <v/>
      </c>
      <c r="AQ43" s="561" t="str">
        <f t="shared" si="1"/>
        <v/>
      </c>
      <c r="AR43" s="561" t="str">
        <f t="shared" si="30"/>
        <v>キャリアパス要件Ⅰ・Ⅱ_</v>
      </c>
      <c r="AS43" s="540" t="str">
        <f t="shared" si="2"/>
        <v>入力済</v>
      </c>
      <c r="AT43" s="557" t="str">
        <f t="shared" si="14"/>
        <v/>
      </c>
      <c r="AU43" s="540" t="str">
        <f t="shared" si="3"/>
        <v>入力済</v>
      </c>
      <c r="AV43" s="540" t="str">
        <f t="shared" si="4"/>
        <v/>
      </c>
      <c r="AW43" s="576" t="str">
        <f t="shared" si="15"/>
        <v/>
      </c>
      <c r="AX43" s="557" t="str">
        <f t="shared" si="5"/>
        <v/>
      </c>
      <c r="AY43" s="540" t="str">
        <f>IFERROR(VLOOKUP(K43,【参考】数式用!$AR$3:$AS$49, 2, FALSE), "")</f>
        <v/>
      </c>
      <c r="AZ43" s="557" t="str">
        <f t="shared" si="16"/>
        <v/>
      </c>
      <c r="BA43" s="560" t="str">
        <f t="shared" si="6"/>
        <v>入力済</v>
      </c>
      <c r="BB43" s="540" t="str">
        <f>IFERROR(VLOOKUP(K43,【参考】数式用!$AX$3:$AY$59, 2, FALSE), "")</f>
        <v/>
      </c>
      <c r="BC43" s="557" t="str">
        <f t="shared" si="17"/>
        <v/>
      </c>
      <c r="BD43" s="560" t="str">
        <f t="shared" si="7"/>
        <v>入力済</v>
      </c>
      <c r="BE43" s="560" t="str">
        <f t="shared" si="18"/>
        <v/>
      </c>
      <c r="BF43" s="560" t="str">
        <f t="shared" si="19"/>
        <v/>
      </c>
      <c r="BG43" s="560" t="str">
        <f t="shared" si="20"/>
        <v/>
      </c>
      <c r="BH43" s="560" t="str">
        <f t="shared" si="8"/>
        <v/>
      </c>
      <c r="BI43" s="560" t="str">
        <f t="shared" si="9"/>
        <v/>
      </c>
      <c r="BK43" s="27"/>
      <c r="BL43" s="607" t="str">
        <f t="shared" si="21"/>
        <v/>
      </c>
      <c r="BM43" s="607" t="str">
        <f t="shared" si="22"/>
        <v/>
      </c>
      <c r="BN43" s="607" t="str">
        <f t="shared" si="23"/>
        <v/>
      </c>
      <c r="BO43" s="608" t="str">
        <f>IF(BM43="","",ROUNDDOWN(L43*VLOOKUP(K43,【参考】数式用!$A$4:$J$42,10,FALSE)*AA43,0))</f>
        <v/>
      </c>
      <c r="BP43" s="607" t="str">
        <f t="shared" si="24"/>
        <v/>
      </c>
      <c r="BQ43" s="607" t="str">
        <f t="shared" si="25"/>
        <v/>
      </c>
      <c r="BR43" s="609" t="str">
        <f t="shared" si="26"/>
        <v/>
      </c>
      <c r="BS43" s="609" t="str">
        <f t="shared" si="27"/>
        <v/>
      </c>
      <c r="BT43" s="607" t="str">
        <f t="shared" si="28"/>
        <v/>
      </c>
      <c r="BU43" s="608" t="str">
        <f>IF(BT43="Ⅱロ有り",ROUNDDOWN(L43*VLOOKUP(K43,【参考】数式用!$A$4:$J$42,10,FALSE)*AA43,0),"")</f>
        <v/>
      </c>
      <c r="BV43" s="607" t="str">
        <f>IF(BT43="Ⅱロなし",ROUNDDOWN(L43*VLOOKUP(K43,【参考】数式用!$A$4:$J$42,8,FALSE)*AA43,0),"")</f>
        <v/>
      </c>
    </row>
    <row r="44" spans="1:74" ht="109.9" customHeight="1" thickBot="1">
      <c r="A44" s="303">
        <v>31</v>
      </c>
      <c r="B44" s="956" t="str">
        <f>IF(基本情報入力シート!B66="","",基本情報入力シート!B66)</f>
        <v/>
      </c>
      <c r="C44" s="957"/>
      <c r="D44" s="957"/>
      <c r="E44" s="957"/>
      <c r="F44" s="958"/>
      <c r="G44" s="304" t="str">
        <f>IF(基本情報入力シート!L66="", "", 基本情報入力シート!L66)</f>
        <v/>
      </c>
      <c r="H44" s="304" t="str">
        <f>IF(基本情報入力シート!Q66="", "", 基本情報入力シート!Q66)</f>
        <v/>
      </c>
      <c r="I44" s="304" t="str">
        <f>IF(基本情報入力シート!V66="", "", 基本情報入力シート!V66)</f>
        <v/>
      </c>
      <c r="J44" s="304" t="str">
        <f>IF(基本情報入力シート!W66="", "", 基本情報入力シート!W66)</f>
        <v/>
      </c>
      <c r="K44" s="304" t="str">
        <f>IF(基本情報入力シート!Z66="", "", 基本情報入力シート!Z66)</f>
        <v/>
      </c>
      <c r="L44" s="558" t="str">
        <f>IF(基本情報入力シート!AF66=0, "",基本情報入力シート!AF66)</f>
        <v/>
      </c>
      <c r="M44" s="524" t="str">
        <f>IF('別紙様式2-2（個票（４、５月））'!M44="","",'別紙様式2-2（個票（４、５月））'!M44)</f>
        <v/>
      </c>
      <c r="N44" s="523" t="str">
        <f>IF('別紙様式2-2（個票（４、５月））'!N44="","",'別紙様式2-2（個票（４、５月））'!N44)</f>
        <v/>
      </c>
      <c r="O44" s="286"/>
      <c r="P44" s="555" t="str">
        <f>IFERROR(VLOOKUP(K44,【参考】数式用!$A$2:$M$57,MATCH(O44,【参考】数式用!$G$3:$M$3,0)+6,0),"")</f>
        <v/>
      </c>
      <c r="Q44" s="310" t="s">
        <v>118</v>
      </c>
      <c r="R44" s="308"/>
      <c r="S44" s="309" t="s">
        <v>183</v>
      </c>
      <c r="T44" s="308"/>
      <c r="U44" s="309" t="s">
        <v>184</v>
      </c>
      <c r="V44" s="308"/>
      <c r="W44" s="309" t="s">
        <v>183</v>
      </c>
      <c r="X44" s="308"/>
      <c r="Y44" s="309" t="s">
        <v>120</v>
      </c>
      <c r="Z44" s="309" t="s">
        <v>186</v>
      </c>
      <c r="AA44" s="309" t="str">
        <f t="shared" si="29"/>
        <v/>
      </c>
      <c r="AB44" s="305" t="s">
        <v>187</v>
      </c>
      <c r="AC44" s="306" t="str">
        <f t="shared" si="10"/>
        <v/>
      </c>
      <c r="AD44" s="515" t="str">
        <f t="shared" si="11"/>
        <v/>
      </c>
      <c r="AE44" s="307" t="str">
        <f>IFERROR(ROUNDDOWN(ROUNDDOWN(ROUND(L44*VLOOKUP(K44,【参考】数式用!$A$2:$M$57,MATCH("処遇改善加算Ⅳ",【参考】数式用!$G$3:$M$3,0)+6,0),0),0)*AA44*0.5,0), "")</f>
        <v/>
      </c>
      <c r="AF44" s="318"/>
      <c r="AG44" s="319"/>
      <c r="AH44" s="319"/>
      <c r="AI44" s="318"/>
      <c r="AJ44" s="320"/>
      <c r="AK44" s="326"/>
      <c r="AL44" s="324" t="str">
        <f t="shared" si="0"/>
        <v/>
      </c>
      <c r="AM44" s="325" t="str">
        <f t="shared" si="12"/>
        <v/>
      </c>
      <c r="AN44" s="255"/>
      <c r="AO44" s="557" t="str">
        <f>IFERROR(VLOOKUP(K44,【参考】数式用!$A$2:$N$57,14,FALSE),"")</f>
        <v/>
      </c>
      <c r="AP44" s="557" t="str">
        <f t="shared" si="13"/>
        <v/>
      </c>
      <c r="AQ44" s="561" t="str">
        <f t="shared" si="1"/>
        <v/>
      </c>
      <c r="AR44" s="561" t="str">
        <f t="shared" si="30"/>
        <v>キャリアパス要件Ⅰ・Ⅱ_</v>
      </c>
      <c r="AS44" s="540" t="str">
        <f t="shared" si="2"/>
        <v>入力済</v>
      </c>
      <c r="AT44" s="557" t="str">
        <f t="shared" si="14"/>
        <v/>
      </c>
      <c r="AU44" s="540" t="str">
        <f t="shared" si="3"/>
        <v>入力済</v>
      </c>
      <c r="AV44" s="540" t="str">
        <f t="shared" si="4"/>
        <v/>
      </c>
      <c r="AW44" s="576" t="str">
        <f t="shared" si="15"/>
        <v/>
      </c>
      <c r="AX44" s="557" t="str">
        <f t="shared" si="5"/>
        <v/>
      </c>
      <c r="AY44" s="540" t="str">
        <f>IFERROR(VLOOKUP(K44,【参考】数式用!$AR$3:$AS$49, 2, FALSE), "")</f>
        <v/>
      </c>
      <c r="AZ44" s="557" t="str">
        <f t="shared" si="16"/>
        <v/>
      </c>
      <c r="BA44" s="560" t="str">
        <f t="shared" si="6"/>
        <v>入力済</v>
      </c>
      <c r="BB44" s="540" t="str">
        <f>IFERROR(VLOOKUP(K44,【参考】数式用!$AX$3:$AY$59, 2, FALSE), "")</f>
        <v/>
      </c>
      <c r="BC44" s="557" t="str">
        <f t="shared" si="17"/>
        <v/>
      </c>
      <c r="BD44" s="560" t="str">
        <f t="shared" si="7"/>
        <v>入力済</v>
      </c>
      <c r="BE44" s="560" t="str">
        <f t="shared" si="18"/>
        <v/>
      </c>
      <c r="BF44" s="560" t="str">
        <f t="shared" si="19"/>
        <v/>
      </c>
      <c r="BG44" s="560" t="str">
        <f t="shared" si="20"/>
        <v/>
      </c>
      <c r="BH44" s="560" t="str">
        <f t="shared" si="8"/>
        <v/>
      </c>
      <c r="BI44" s="560" t="str">
        <f t="shared" si="9"/>
        <v/>
      </c>
      <c r="BK44" s="27"/>
      <c r="BL44" s="607" t="str">
        <f t="shared" si="21"/>
        <v/>
      </c>
      <c r="BM44" s="607" t="str">
        <f t="shared" si="22"/>
        <v/>
      </c>
      <c r="BN44" s="607" t="str">
        <f t="shared" si="23"/>
        <v/>
      </c>
      <c r="BO44" s="608" t="str">
        <f>IF(BM44="","",ROUNDDOWN(L44*VLOOKUP(K44,【参考】数式用!$A$4:$J$42,10,FALSE)*AA44,0))</f>
        <v/>
      </c>
      <c r="BP44" s="607" t="str">
        <f t="shared" si="24"/>
        <v/>
      </c>
      <c r="BQ44" s="607" t="str">
        <f t="shared" si="25"/>
        <v/>
      </c>
      <c r="BR44" s="609" t="str">
        <f t="shared" si="26"/>
        <v/>
      </c>
      <c r="BS44" s="609" t="str">
        <f t="shared" si="27"/>
        <v/>
      </c>
      <c r="BT44" s="607" t="str">
        <f t="shared" si="28"/>
        <v/>
      </c>
      <c r="BU44" s="608" t="str">
        <f>IF(BT44="Ⅱロ有り",ROUNDDOWN(L44*VLOOKUP(K44,【参考】数式用!$A$4:$J$42,10,FALSE)*AA44,0),"")</f>
        <v/>
      </c>
      <c r="BV44" s="607" t="str">
        <f>IF(BT44="Ⅱロなし",ROUNDDOWN(L44*VLOOKUP(K44,【参考】数式用!$A$4:$J$42,8,FALSE)*AA44,0),"")</f>
        <v/>
      </c>
    </row>
    <row r="45" spans="1:74" ht="109.9" customHeight="1" thickBot="1">
      <c r="A45" s="303">
        <v>32</v>
      </c>
      <c r="B45" s="956" t="str">
        <f>IF(基本情報入力シート!B67="","",基本情報入力シート!B67)</f>
        <v/>
      </c>
      <c r="C45" s="957"/>
      <c r="D45" s="957"/>
      <c r="E45" s="957"/>
      <c r="F45" s="958"/>
      <c r="G45" s="304" t="str">
        <f>IF(基本情報入力シート!L67="", "", 基本情報入力シート!L67)</f>
        <v/>
      </c>
      <c r="H45" s="304" t="str">
        <f>IF(基本情報入力シート!Q67="", "", 基本情報入力シート!Q67)</f>
        <v/>
      </c>
      <c r="I45" s="304" t="str">
        <f>IF(基本情報入力シート!V67="", "", 基本情報入力シート!V67)</f>
        <v/>
      </c>
      <c r="J45" s="304" t="str">
        <f>IF(基本情報入力シート!W67="", "", 基本情報入力シート!W67)</f>
        <v/>
      </c>
      <c r="K45" s="304" t="str">
        <f>IF(基本情報入力シート!Z67="", "", 基本情報入力シート!Z67)</f>
        <v/>
      </c>
      <c r="L45" s="558" t="str">
        <f>IF(基本情報入力シート!AF67=0, "",基本情報入力シート!AF67)</f>
        <v/>
      </c>
      <c r="M45" s="524" t="str">
        <f>IF('別紙様式2-2（個票（４、５月））'!M45="","",'別紙様式2-2（個票（４、５月））'!M45)</f>
        <v/>
      </c>
      <c r="N45" s="523" t="str">
        <f>IF('別紙様式2-2（個票（４、５月））'!N45="","",'別紙様式2-2（個票（４、５月））'!N45)</f>
        <v/>
      </c>
      <c r="O45" s="286"/>
      <c r="P45" s="555" t="str">
        <f>IFERROR(VLOOKUP(K45,【参考】数式用!$A$2:$M$57,MATCH(O45,【参考】数式用!$G$3:$M$3,0)+6,0),"")</f>
        <v/>
      </c>
      <c r="Q45" s="310" t="s">
        <v>118</v>
      </c>
      <c r="R45" s="308"/>
      <c r="S45" s="309" t="s">
        <v>183</v>
      </c>
      <c r="T45" s="308"/>
      <c r="U45" s="309" t="s">
        <v>184</v>
      </c>
      <c r="V45" s="308"/>
      <c r="W45" s="309" t="s">
        <v>183</v>
      </c>
      <c r="X45" s="308"/>
      <c r="Y45" s="309" t="s">
        <v>120</v>
      </c>
      <c r="Z45" s="309" t="s">
        <v>186</v>
      </c>
      <c r="AA45" s="309" t="str">
        <f t="shared" si="29"/>
        <v/>
      </c>
      <c r="AB45" s="305" t="s">
        <v>187</v>
      </c>
      <c r="AC45" s="306" t="str">
        <f t="shared" si="10"/>
        <v/>
      </c>
      <c r="AD45" s="515" t="str">
        <f t="shared" si="11"/>
        <v/>
      </c>
      <c r="AE45" s="307" t="str">
        <f>IFERROR(ROUNDDOWN(ROUNDDOWN(ROUND(L45*VLOOKUP(K45,【参考】数式用!$A$2:$M$57,MATCH("処遇改善加算Ⅳ",【参考】数式用!$G$3:$M$3,0)+6,0),0),0)*AA45*0.5,0), "")</f>
        <v/>
      </c>
      <c r="AF45" s="318"/>
      <c r="AG45" s="319"/>
      <c r="AH45" s="319"/>
      <c r="AI45" s="318"/>
      <c r="AJ45" s="320"/>
      <c r="AK45" s="326"/>
      <c r="AL45" s="324" t="str">
        <f t="shared" ref="AL45:AL76" si="31">IF(AND(O45&lt;&gt;"", OR(V45&lt;&gt;9,X45&lt;&gt;3)),"！算定期間の終わりが令和９年３月になっていません。６月以降、年度の途中で加算区分を変更する場合は、基本情報入力シートに対象となる事業所の行を追加し、このシートに記入してください。その際、４，５月分シートでは同一事業所について複数回記入しないように注意してください。",
 IF(AND(AO45="加算対象外",O45&lt;&gt;"",AG45="―",AK45="―"),"このサービスについては、キャリアパス要件Ⅰ・Ⅱか令和８年度特例要件のどちらかの要件を満たしている必要があります",""))</f>
        <v/>
      </c>
      <c r="AM45" s="325" t="str">
        <f t="shared" si="12"/>
        <v/>
      </c>
      <c r="AN45" s="255"/>
      <c r="AO45" s="557" t="str">
        <f>IFERROR(VLOOKUP(K45,【参考】数式用!$A$2:$N$57,14,FALSE),"")</f>
        <v/>
      </c>
      <c r="AP45" s="557" t="str">
        <f t="shared" si="13"/>
        <v/>
      </c>
      <c r="AQ45" s="561" t="str">
        <f t="shared" ref="AQ45:AQ76" si="32">IF(AND(AE45&lt;&gt;0,AE45&lt;&gt;"",AO45="加算対象"),IF(AF45="○","入力済","未入力"),"")</f>
        <v/>
      </c>
      <c r="AR45" s="561" t="str">
        <f t="shared" si="30"/>
        <v>キャリアパス要件Ⅰ・Ⅱ_</v>
      </c>
      <c r="AS45" s="540" t="str">
        <f t="shared" ref="AS45:AS76" si="33">IF(AND(O45&lt;&gt;"", AG45=""), "未入力", "入力済")</f>
        <v>入力済</v>
      </c>
      <c r="AT45" s="557" t="str">
        <f t="shared" si="14"/>
        <v/>
      </c>
      <c r="AU45" s="540" t="str">
        <f t="shared" ref="AU45:AU76" si="34">IF(AND(O45&lt;&gt;"", O45&lt;&gt;"処遇改善加算Ⅳ",O45&lt;&gt;"処遇改善加算", AH45=""), "未入力", "入力済")</f>
        <v>入力済</v>
      </c>
      <c r="AV45" s="540" t="str">
        <f t="shared" ref="AV45:AV76" si="35">IF(OR(ISNUMBER(SEARCH("処遇改善加算Ⅰ",O45)),ISNUMBER(SEARCH("処遇改善加算Ⅱ",O45))),"対象","")</f>
        <v/>
      </c>
      <c r="AW45" s="576" t="str">
        <f t="shared" si="15"/>
        <v/>
      </c>
      <c r="AX45" s="557" t="str">
        <f t="shared" ref="AX45:AX76" si="36">IF(AND(AW45=1, OR(AI45=0,AI45=""),AO45="加算対象"),"AH列に色付け","")</f>
        <v/>
      </c>
      <c r="AY45" s="540" t="str">
        <f>IFERROR(VLOOKUP(K45,【参考】数式用!$AR$3:$AS$49, 2, FALSE), "")</f>
        <v/>
      </c>
      <c r="AZ45" s="557" t="str">
        <f t="shared" si="16"/>
        <v/>
      </c>
      <c r="BA45" s="560" t="str">
        <f t="shared" ref="BA45:BA76" si="37">IF(AND(OR(O45="処遇改善加算Ⅰイ",O45="処遇改善加算Ⅰロ"), AJ45=""), "未入力","入力済")</f>
        <v>入力済</v>
      </c>
      <c r="BB45" s="540" t="str">
        <f>IFERROR(VLOOKUP(K45,【参考】数式用!$AX$3:$AY$59, 2, FALSE), "")</f>
        <v/>
      </c>
      <c r="BC45" s="557" t="str">
        <f t="shared" si="17"/>
        <v/>
      </c>
      <c r="BD45" s="560" t="str">
        <f t="shared" ref="BD45:BD76" si="38">IF(AND(COUNTIF(AG45:AI45,"*令和８年度特例要件を*")&gt;0,AK45=""), "未入力","入力済")</f>
        <v>入力済</v>
      </c>
      <c r="BE45" s="560" t="str">
        <f t="shared" si="18"/>
        <v/>
      </c>
      <c r="BF45" s="560" t="str">
        <f t="shared" si="19"/>
        <v/>
      </c>
      <c r="BG45" s="560" t="str">
        <f t="shared" si="20"/>
        <v/>
      </c>
      <c r="BH45" s="560" t="str">
        <f t="shared" ref="BH45:BH76" si="39">IF(AND(BE45="",BG45="入力必要"),IF(AK45="","未入力","入力済"),"")</f>
        <v/>
      </c>
      <c r="BI45" s="560" t="str">
        <f t="shared" ref="BI45:BI76" si="40">G45</f>
        <v/>
      </c>
      <c r="BK45" s="27"/>
      <c r="BL45" s="607" t="str">
        <f t="shared" si="21"/>
        <v/>
      </c>
      <c r="BM45" s="607" t="str">
        <f t="shared" si="22"/>
        <v/>
      </c>
      <c r="BN45" s="607" t="str">
        <f t="shared" si="23"/>
        <v/>
      </c>
      <c r="BO45" s="608" t="str">
        <f>IF(BM45="","",ROUNDDOWN(L45*VLOOKUP(K45,【参考】数式用!$A$4:$J$42,10,FALSE)*AA45,0))</f>
        <v/>
      </c>
      <c r="BP45" s="607" t="str">
        <f t="shared" si="24"/>
        <v/>
      </c>
      <c r="BQ45" s="607" t="str">
        <f t="shared" si="25"/>
        <v/>
      </c>
      <c r="BR45" s="609" t="str">
        <f t="shared" si="26"/>
        <v/>
      </c>
      <c r="BS45" s="609" t="str">
        <f t="shared" si="27"/>
        <v/>
      </c>
      <c r="BT45" s="607" t="str">
        <f t="shared" si="28"/>
        <v/>
      </c>
      <c r="BU45" s="608" t="str">
        <f>IF(BT45="Ⅱロ有り",ROUNDDOWN(L45*VLOOKUP(K45,【参考】数式用!$A$4:$J$42,10,FALSE)*AA45,0),"")</f>
        <v/>
      </c>
      <c r="BV45" s="607" t="str">
        <f>IF(BT45="Ⅱロなし",ROUNDDOWN(L45*VLOOKUP(K45,【参考】数式用!$A$4:$J$42,8,FALSE)*AA45,0),"")</f>
        <v/>
      </c>
    </row>
    <row r="46" spans="1:74" ht="109.9" customHeight="1" thickBot="1">
      <c r="A46" s="303">
        <v>33</v>
      </c>
      <c r="B46" s="956" t="str">
        <f>IF(基本情報入力シート!B68="","",基本情報入力シート!B68)</f>
        <v/>
      </c>
      <c r="C46" s="957"/>
      <c r="D46" s="957"/>
      <c r="E46" s="957"/>
      <c r="F46" s="958"/>
      <c r="G46" s="304" t="str">
        <f>IF(基本情報入力シート!L68="", "", 基本情報入力シート!L68)</f>
        <v/>
      </c>
      <c r="H46" s="304" t="str">
        <f>IF(基本情報入力シート!Q68="", "", 基本情報入力シート!Q68)</f>
        <v/>
      </c>
      <c r="I46" s="304" t="str">
        <f>IF(基本情報入力シート!V68="", "", 基本情報入力シート!V68)</f>
        <v/>
      </c>
      <c r="J46" s="304" t="str">
        <f>IF(基本情報入力シート!W68="", "", 基本情報入力シート!W68)</f>
        <v/>
      </c>
      <c r="K46" s="304" t="str">
        <f>IF(基本情報入力シート!Z68="", "", 基本情報入力シート!Z68)</f>
        <v/>
      </c>
      <c r="L46" s="558" t="str">
        <f>IF(基本情報入力シート!AF68=0, "",基本情報入力シート!AF68)</f>
        <v/>
      </c>
      <c r="M46" s="524" t="str">
        <f>IF('別紙様式2-2（個票（４、５月））'!M46="","",'別紙様式2-2（個票（４、５月））'!M46)</f>
        <v/>
      </c>
      <c r="N46" s="523" t="str">
        <f>IF('別紙様式2-2（個票（４、５月））'!N46="","",'別紙様式2-2（個票（４、５月））'!N46)</f>
        <v/>
      </c>
      <c r="O46" s="286"/>
      <c r="P46" s="555" t="str">
        <f>IFERROR(VLOOKUP(K46,【参考】数式用!$A$2:$M$57,MATCH(O46,【参考】数式用!$G$3:$M$3,0)+6,0),"")</f>
        <v/>
      </c>
      <c r="Q46" s="310" t="s">
        <v>118</v>
      </c>
      <c r="R46" s="308"/>
      <c r="S46" s="309" t="s">
        <v>183</v>
      </c>
      <c r="T46" s="308"/>
      <c r="U46" s="309" t="s">
        <v>184</v>
      </c>
      <c r="V46" s="308"/>
      <c r="W46" s="309" t="s">
        <v>183</v>
      </c>
      <c r="X46" s="308"/>
      <c r="Y46" s="309" t="s">
        <v>185</v>
      </c>
      <c r="Z46" s="309" t="s">
        <v>186</v>
      </c>
      <c r="AA46" s="309" t="str">
        <f t="shared" si="29"/>
        <v/>
      </c>
      <c r="AB46" s="305" t="s">
        <v>187</v>
      </c>
      <c r="AC46" s="306" t="str">
        <f t="shared" si="10"/>
        <v/>
      </c>
      <c r="AD46" s="515" t="str">
        <f t="shared" si="11"/>
        <v/>
      </c>
      <c r="AE46" s="307" t="str">
        <f>IFERROR(ROUNDDOWN(ROUNDDOWN(ROUND(L46*VLOOKUP(K46,【参考】数式用!$A$2:$M$57,MATCH("処遇改善加算Ⅳ",【参考】数式用!$G$3:$M$3,0)+6,0),0),0)*AA46*0.5,0), "")</f>
        <v/>
      </c>
      <c r="AF46" s="318"/>
      <c r="AG46" s="319"/>
      <c r="AH46" s="319"/>
      <c r="AI46" s="318"/>
      <c r="AJ46" s="320"/>
      <c r="AK46" s="326"/>
      <c r="AL46" s="324" t="str">
        <f t="shared" si="31"/>
        <v/>
      </c>
      <c r="AM46" s="325" t="str">
        <f t="shared" si="12"/>
        <v/>
      </c>
      <c r="AN46" s="255"/>
      <c r="AO46" s="557" t="str">
        <f>IFERROR(VLOOKUP(K46,【参考】数式用!$A$2:$N$57,14,FALSE),"")</f>
        <v/>
      </c>
      <c r="AP46" s="557" t="str">
        <f t="shared" si="13"/>
        <v/>
      </c>
      <c r="AQ46" s="561" t="str">
        <f t="shared" si="32"/>
        <v/>
      </c>
      <c r="AR46" s="561" t="str">
        <f t="shared" si="30"/>
        <v>キャリアパス要件Ⅰ・Ⅱ_</v>
      </c>
      <c r="AS46" s="540" t="str">
        <f t="shared" si="33"/>
        <v>入力済</v>
      </c>
      <c r="AT46" s="557" t="str">
        <f t="shared" si="14"/>
        <v/>
      </c>
      <c r="AU46" s="540" t="str">
        <f t="shared" si="34"/>
        <v>入力済</v>
      </c>
      <c r="AV46" s="540" t="str">
        <f t="shared" si="35"/>
        <v/>
      </c>
      <c r="AW46" s="576" t="str">
        <f t="shared" si="15"/>
        <v/>
      </c>
      <c r="AX46" s="557" t="str">
        <f t="shared" si="36"/>
        <v/>
      </c>
      <c r="AY46" s="540" t="str">
        <f>IFERROR(VLOOKUP(K46,【参考】数式用!$AR$3:$AS$49, 2, FALSE), "")</f>
        <v/>
      </c>
      <c r="AZ46" s="557" t="str">
        <f t="shared" si="16"/>
        <v/>
      </c>
      <c r="BA46" s="560" t="str">
        <f t="shared" si="37"/>
        <v>入力済</v>
      </c>
      <c r="BB46" s="540" t="str">
        <f>IFERROR(VLOOKUP(K46,【参考】数式用!$AX$3:$AY$59, 2, FALSE), "")</f>
        <v/>
      </c>
      <c r="BC46" s="557" t="str">
        <f t="shared" si="17"/>
        <v/>
      </c>
      <c r="BD46" s="560" t="str">
        <f t="shared" si="38"/>
        <v>入力済</v>
      </c>
      <c r="BE46" s="560" t="str">
        <f t="shared" si="18"/>
        <v/>
      </c>
      <c r="BF46" s="560" t="str">
        <f t="shared" si="19"/>
        <v/>
      </c>
      <c r="BG46" s="560" t="str">
        <f t="shared" si="20"/>
        <v/>
      </c>
      <c r="BH46" s="560" t="str">
        <f t="shared" si="39"/>
        <v/>
      </c>
      <c r="BI46" s="560" t="str">
        <f t="shared" si="40"/>
        <v/>
      </c>
      <c r="BK46" s="27"/>
      <c r="BL46" s="607" t="str">
        <f t="shared" si="21"/>
        <v/>
      </c>
      <c r="BM46" s="607" t="str">
        <f t="shared" si="22"/>
        <v/>
      </c>
      <c r="BN46" s="607" t="str">
        <f t="shared" si="23"/>
        <v/>
      </c>
      <c r="BO46" s="608" t="str">
        <f>IF(BM46="","",ROUNDDOWN(L46*VLOOKUP(K46,【参考】数式用!$A$4:$J$42,10,FALSE)*AA46,0))</f>
        <v/>
      </c>
      <c r="BP46" s="607" t="str">
        <f t="shared" si="24"/>
        <v/>
      </c>
      <c r="BQ46" s="607" t="str">
        <f t="shared" si="25"/>
        <v/>
      </c>
      <c r="BR46" s="609" t="str">
        <f t="shared" si="26"/>
        <v/>
      </c>
      <c r="BS46" s="609" t="str">
        <f t="shared" si="27"/>
        <v/>
      </c>
      <c r="BT46" s="607" t="str">
        <f t="shared" si="28"/>
        <v/>
      </c>
      <c r="BU46" s="608" t="str">
        <f>IF(BT46="Ⅱロ有り",ROUNDDOWN(L46*VLOOKUP(K46,【参考】数式用!$A$4:$J$42,10,FALSE)*AA46,0),"")</f>
        <v/>
      </c>
      <c r="BV46" s="607" t="str">
        <f>IF(BT46="Ⅱロなし",ROUNDDOWN(L46*VLOOKUP(K46,【参考】数式用!$A$4:$J$42,8,FALSE)*AA46,0),"")</f>
        <v/>
      </c>
    </row>
    <row r="47" spans="1:74" ht="109.9" customHeight="1" thickBot="1">
      <c r="A47" s="303">
        <v>34</v>
      </c>
      <c r="B47" s="956" t="str">
        <f>IF(基本情報入力シート!B69="","",基本情報入力シート!B69)</f>
        <v/>
      </c>
      <c r="C47" s="957"/>
      <c r="D47" s="957"/>
      <c r="E47" s="957"/>
      <c r="F47" s="958"/>
      <c r="G47" s="304" t="str">
        <f>IF(基本情報入力シート!L69="", "", 基本情報入力シート!L69)</f>
        <v/>
      </c>
      <c r="H47" s="304" t="str">
        <f>IF(基本情報入力シート!Q69="", "", 基本情報入力シート!Q69)</f>
        <v/>
      </c>
      <c r="I47" s="304" t="str">
        <f>IF(基本情報入力シート!V69="", "", 基本情報入力シート!V69)</f>
        <v/>
      </c>
      <c r="J47" s="304" t="str">
        <f>IF(基本情報入力シート!W69="", "", 基本情報入力シート!W69)</f>
        <v/>
      </c>
      <c r="K47" s="304" t="str">
        <f>IF(基本情報入力シート!Z69="", "", 基本情報入力シート!Z69)</f>
        <v/>
      </c>
      <c r="L47" s="558" t="str">
        <f>IF(基本情報入力シート!AF69=0, "",基本情報入力シート!AF69)</f>
        <v/>
      </c>
      <c r="M47" s="524" t="str">
        <f>IF('別紙様式2-2（個票（４、５月））'!M47="","",'別紙様式2-2（個票（４、５月））'!M47)</f>
        <v/>
      </c>
      <c r="N47" s="523" t="str">
        <f>IF('別紙様式2-2（個票（４、５月））'!N47="","",'別紙様式2-2（個票（４、５月））'!N47)</f>
        <v/>
      </c>
      <c r="O47" s="286"/>
      <c r="P47" s="555" t="str">
        <f>IFERROR(VLOOKUP(K47,【参考】数式用!$A$2:$M$57,MATCH(O47,【参考】数式用!$G$3:$M$3,0)+6,0),"")</f>
        <v/>
      </c>
      <c r="Q47" s="310" t="s">
        <v>118</v>
      </c>
      <c r="R47" s="308"/>
      <c r="S47" s="309" t="s">
        <v>183</v>
      </c>
      <c r="T47" s="308"/>
      <c r="U47" s="309" t="s">
        <v>184</v>
      </c>
      <c r="V47" s="308"/>
      <c r="W47" s="309" t="s">
        <v>183</v>
      </c>
      <c r="X47" s="308"/>
      <c r="Y47" s="309" t="s">
        <v>185</v>
      </c>
      <c r="Z47" s="309" t="s">
        <v>186</v>
      </c>
      <c r="AA47" s="309" t="str">
        <f t="shared" si="29"/>
        <v/>
      </c>
      <c r="AB47" s="305" t="s">
        <v>187</v>
      </c>
      <c r="AC47" s="306" t="str">
        <f t="shared" si="10"/>
        <v/>
      </c>
      <c r="AD47" s="515" t="str">
        <f t="shared" si="11"/>
        <v/>
      </c>
      <c r="AE47" s="307" t="str">
        <f>IFERROR(ROUNDDOWN(ROUNDDOWN(ROUND(L47*VLOOKUP(K47,【参考】数式用!$A$2:$M$57,MATCH("処遇改善加算Ⅳ",【参考】数式用!$G$3:$M$3,0)+6,0),0),0)*AA47*0.5,0), "")</f>
        <v/>
      </c>
      <c r="AF47" s="318"/>
      <c r="AG47" s="319"/>
      <c r="AH47" s="319"/>
      <c r="AI47" s="318"/>
      <c r="AJ47" s="320"/>
      <c r="AK47" s="326"/>
      <c r="AL47" s="324" t="str">
        <f t="shared" si="31"/>
        <v/>
      </c>
      <c r="AM47" s="325" t="str">
        <f t="shared" si="12"/>
        <v/>
      </c>
      <c r="AN47" s="255"/>
      <c r="AO47" s="557" t="str">
        <f>IFERROR(VLOOKUP(K47,【参考】数式用!$A$2:$N$57,14,FALSE),"")</f>
        <v/>
      </c>
      <c r="AP47" s="557" t="str">
        <f t="shared" si="13"/>
        <v/>
      </c>
      <c r="AQ47" s="561" t="str">
        <f t="shared" si="32"/>
        <v/>
      </c>
      <c r="AR47" s="561" t="str">
        <f t="shared" si="30"/>
        <v>キャリアパス要件Ⅰ・Ⅱ_</v>
      </c>
      <c r="AS47" s="540" t="str">
        <f t="shared" si="33"/>
        <v>入力済</v>
      </c>
      <c r="AT47" s="557" t="str">
        <f t="shared" si="14"/>
        <v/>
      </c>
      <c r="AU47" s="540" t="str">
        <f t="shared" si="34"/>
        <v>入力済</v>
      </c>
      <c r="AV47" s="540" t="str">
        <f t="shared" si="35"/>
        <v/>
      </c>
      <c r="AW47" s="576" t="str">
        <f t="shared" si="15"/>
        <v/>
      </c>
      <c r="AX47" s="557" t="str">
        <f t="shared" si="36"/>
        <v/>
      </c>
      <c r="AY47" s="540" t="str">
        <f>IFERROR(VLOOKUP(K47,【参考】数式用!$AR$3:$AS$49, 2, FALSE), "")</f>
        <v/>
      </c>
      <c r="AZ47" s="557" t="str">
        <f t="shared" si="16"/>
        <v/>
      </c>
      <c r="BA47" s="560" t="str">
        <f t="shared" si="37"/>
        <v>入力済</v>
      </c>
      <c r="BB47" s="540" t="str">
        <f>IFERROR(VLOOKUP(K47,【参考】数式用!$AX$3:$AY$59, 2, FALSE), "")</f>
        <v/>
      </c>
      <c r="BC47" s="557" t="str">
        <f t="shared" si="17"/>
        <v/>
      </c>
      <c r="BD47" s="560" t="str">
        <f t="shared" si="38"/>
        <v>入力済</v>
      </c>
      <c r="BE47" s="560" t="str">
        <f t="shared" si="18"/>
        <v/>
      </c>
      <c r="BF47" s="560" t="str">
        <f t="shared" si="19"/>
        <v/>
      </c>
      <c r="BG47" s="560" t="str">
        <f t="shared" si="20"/>
        <v/>
      </c>
      <c r="BH47" s="560" t="str">
        <f t="shared" si="39"/>
        <v/>
      </c>
      <c r="BI47" s="560" t="str">
        <f t="shared" si="40"/>
        <v/>
      </c>
      <c r="BK47" s="27"/>
      <c r="BL47" s="607" t="str">
        <f t="shared" si="21"/>
        <v/>
      </c>
      <c r="BM47" s="607" t="str">
        <f t="shared" si="22"/>
        <v/>
      </c>
      <c r="BN47" s="607" t="str">
        <f t="shared" si="23"/>
        <v/>
      </c>
      <c r="BO47" s="608" t="str">
        <f>IF(BM47="","",ROUNDDOWN(L47*VLOOKUP(K47,【参考】数式用!$A$4:$J$42,10,FALSE)*AA47,0))</f>
        <v/>
      </c>
      <c r="BP47" s="607" t="str">
        <f t="shared" si="24"/>
        <v/>
      </c>
      <c r="BQ47" s="607" t="str">
        <f t="shared" si="25"/>
        <v/>
      </c>
      <c r="BR47" s="609" t="str">
        <f t="shared" si="26"/>
        <v/>
      </c>
      <c r="BS47" s="609" t="str">
        <f t="shared" si="27"/>
        <v/>
      </c>
      <c r="BT47" s="607" t="str">
        <f t="shared" si="28"/>
        <v/>
      </c>
      <c r="BU47" s="608" t="str">
        <f>IF(BT47="Ⅱロ有り",ROUNDDOWN(L47*VLOOKUP(K47,【参考】数式用!$A$4:$J$42,10,FALSE)*AA47,0),"")</f>
        <v/>
      </c>
      <c r="BV47" s="607" t="str">
        <f>IF(BT47="Ⅱロなし",ROUNDDOWN(L47*VLOOKUP(K47,【参考】数式用!$A$4:$J$42,8,FALSE)*AA47,0),"")</f>
        <v/>
      </c>
    </row>
    <row r="48" spans="1:74" ht="109.9" customHeight="1" thickBot="1">
      <c r="A48" s="303">
        <v>35</v>
      </c>
      <c r="B48" s="956" t="str">
        <f>IF(基本情報入力シート!B70="","",基本情報入力シート!B70)</f>
        <v/>
      </c>
      <c r="C48" s="957"/>
      <c r="D48" s="957"/>
      <c r="E48" s="957"/>
      <c r="F48" s="958"/>
      <c r="G48" s="304" t="str">
        <f>IF(基本情報入力シート!L70="", "", 基本情報入力シート!L70)</f>
        <v/>
      </c>
      <c r="H48" s="304" t="str">
        <f>IF(基本情報入力シート!Q70="", "", 基本情報入力シート!Q70)</f>
        <v/>
      </c>
      <c r="I48" s="304" t="str">
        <f>IF(基本情報入力シート!V70="", "", 基本情報入力シート!V70)</f>
        <v/>
      </c>
      <c r="J48" s="304" t="str">
        <f>IF(基本情報入力シート!W70="", "", 基本情報入力シート!W70)</f>
        <v/>
      </c>
      <c r="K48" s="304" t="str">
        <f>IF(基本情報入力シート!Z70="", "", 基本情報入力シート!Z70)</f>
        <v/>
      </c>
      <c r="L48" s="558" t="str">
        <f>IF(基本情報入力シート!AF70=0, "",基本情報入力シート!AF70)</f>
        <v/>
      </c>
      <c r="M48" s="524" t="str">
        <f>IF('別紙様式2-2（個票（４、５月））'!M48="","",'別紙様式2-2（個票（４、５月））'!M48)</f>
        <v/>
      </c>
      <c r="N48" s="523" t="str">
        <f>IF('別紙様式2-2（個票（４、５月））'!N48="","",'別紙様式2-2（個票（４、５月））'!N48)</f>
        <v/>
      </c>
      <c r="O48" s="286"/>
      <c r="P48" s="555" t="str">
        <f>IFERROR(VLOOKUP(K48,【参考】数式用!$A$2:$M$57,MATCH(O48,【参考】数式用!$G$3:$M$3,0)+6,0),"")</f>
        <v/>
      </c>
      <c r="Q48" s="310" t="s">
        <v>118</v>
      </c>
      <c r="R48" s="308"/>
      <c r="S48" s="309" t="s">
        <v>183</v>
      </c>
      <c r="T48" s="308"/>
      <c r="U48" s="309" t="s">
        <v>184</v>
      </c>
      <c r="V48" s="308"/>
      <c r="W48" s="309" t="s">
        <v>183</v>
      </c>
      <c r="X48" s="308"/>
      <c r="Y48" s="309" t="s">
        <v>185</v>
      </c>
      <c r="Z48" s="309" t="s">
        <v>186</v>
      </c>
      <c r="AA48" s="309" t="str">
        <f t="shared" si="29"/>
        <v/>
      </c>
      <c r="AB48" s="305" t="s">
        <v>187</v>
      </c>
      <c r="AC48" s="306" t="str">
        <f t="shared" si="10"/>
        <v/>
      </c>
      <c r="AD48" s="515" t="str">
        <f t="shared" si="11"/>
        <v/>
      </c>
      <c r="AE48" s="307" t="str">
        <f>IFERROR(ROUNDDOWN(ROUNDDOWN(ROUND(L48*VLOOKUP(K48,【参考】数式用!$A$2:$M$57,MATCH("処遇改善加算Ⅳ",【参考】数式用!$G$3:$M$3,0)+6,0),0),0)*AA48*0.5,0), "")</f>
        <v/>
      </c>
      <c r="AF48" s="318"/>
      <c r="AG48" s="319"/>
      <c r="AH48" s="319"/>
      <c r="AI48" s="318"/>
      <c r="AJ48" s="320"/>
      <c r="AK48" s="326"/>
      <c r="AL48" s="324" t="str">
        <f t="shared" si="31"/>
        <v/>
      </c>
      <c r="AM48" s="325" t="str">
        <f t="shared" si="12"/>
        <v/>
      </c>
      <c r="AN48" s="255"/>
      <c r="AO48" s="557" t="str">
        <f>IFERROR(VLOOKUP(K48,【参考】数式用!$A$2:$N$57,14,FALSE),"")</f>
        <v/>
      </c>
      <c r="AP48" s="557" t="str">
        <f t="shared" si="13"/>
        <v/>
      </c>
      <c r="AQ48" s="561" t="str">
        <f t="shared" si="32"/>
        <v/>
      </c>
      <c r="AR48" s="561" t="str">
        <f t="shared" si="30"/>
        <v>キャリアパス要件Ⅰ・Ⅱ_</v>
      </c>
      <c r="AS48" s="540" t="str">
        <f t="shared" si="33"/>
        <v>入力済</v>
      </c>
      <c r="AT48" s="557" t="str">
        <f t="shared" si="14"/>
        <v/>
      </c>
      <c r="AU48" s="540" t="str">
        <f t="shared" si="34"/>
        <v>入力済</v>
      </c>
      <c r="AV48" s="540" t="str">
        <f t="shared" si="35"/>
        <v/>
      </c>
      <c r="AW48" s="576" t="str">
        <f t="shared" si="15"/>
        <v/>
      </c>
      <c r="AX48" s="557" t="str">
        <f t="shared" si="36"/>
        <v/>
      </c>
      <c r="AY48" s="540" t="str">
        <f>IFERROR(VLOOKUP(K48,【参考】数式用!$AR$3:$AS$49, 2, FALSE), "")</f>
        <v/>
      </c>
      <c r="AZ48" s="557" t="str">
        <f t="shared" si="16"/>
        <v/>
      </c>
      <c r="BA48" s="560" t="str">
        <f t="shared" si="37"/>
        <v>入力済</v>
      </c>
      <c r="BB48" s="540" t="str">
        <f>IFERROR(VLOOKUP(K48,【参考】数式用!$AX$3:$AY$59, 2, FALSE), "")</f>
        <v/>
      </c>
      <c r="BC48" s="557" t="str">
        <f t="shared" si="17"/>
        <v/>
      </c>
      <c r="BD48" s="560" t="str">
        <f t="shared" si="38"/>
        <v>入力済</v>
      </c>
      <c r="BE48" s="560" t="str">
        <f t="shared" si="18"/>
        <v/>
      </c>
      <c r="BF48" s="560" t="str">
        <f t="shared" si="19"/>
        <v/>
      </c>
      <c r="BG48" s="560" t="str">
        <f t="shared" si="20"/>
        <v/>
      </c>
      <c r="BH48" s="560" t="str">
        <f t="shared" si="39"/>
        <v/>
      </c>
      <c r="BI48" s="560" t="str">
        <f t="shared" si="40"/>
        <v/>
      </c>
      <c r="BK48" s="27"/>
      <c r="BL48" s="607" t="str">
        <f t="shared" si="21"/>
        <v/>
      </c>
      <c r="BM48" s="607" t="str">
        <f t="shared" si="22"/>
        <v/>
      </c>
      <c r="BN48" s="607" t="str">
        <f t="shared" si="23"/>
        <v/>
      </c>
      <c r="BO48" s="608" t="str">
        <f>IF(BM48="","",ROUNDDOWN(L48*VLOOKUP(K48,【参考】数式用!$A$4:$J$42,10,FALSE)*AA48,0))</f>
        <v/>
      </c>
      <c r="BP48" s="607" t="str">
        <f t="shared" si="24"/>
        <v/>
      </c>
      <c r="BQ48" s="607" t="str">
        <f t="shared" si="25"/>
        <v/>
      </c>
      <c r="BR48" s="609" t="str">
        <f t="shared" si="26"/>
        <v/>
      </c>
      <c r="BS48" s="609" t="str">
        <f t="shared" si="27"/>
        <v/>
      </c>
      <c r="BT48" s="607" t="str">
        <f t="shared" si="28"/>
        <v/>
      </c>
      <c r="BU48" s="608" t="str">
        <f>IF(BT48="Ⅱロ有り",ROUNDDOWN(L48*VLOOKUP(K48,【参考】数式用!$A$4:$J$42,10,FALSE)*AA48,0),"")</f>
        <v/>
      </c>
      <c r="BV48" s="607" t="str">
        <f>IF(BT48="Ⅱロなし",ROUNDDOWN(L48*VLOOKUP(K48,【参考】数式用!$A$4:$J$42,8,FALSE)*AA48,0),"")</f>
        <v/>
      </c>
    </row>
    <row r="49" spans="1:74" ht="109.9" customHeight="1" thickBot="1">
      <c r="A49" s="303">
        <v>36</v>
      </c>
      <c r="B49" s="956" t="str">
        <f>IF(基本情報入力シート!B71="","",基本情報入力シート!B71)</f>
        <v/>
      </c>
      <c r="C49" s="957"/>
      <c r="D49" s="957"/>
      <c r="E49" s="957"/>
      <c r="F49" s="958"/>
      <c r="G49" s="304" t="str">
        <f>IF(基本情報入力シート!L71="", "", 基本情報入力シート!L71)</f>
        <v/>
      </c>
      <c r="H49" s="304" t="str">
        <f>IF(基本情報入力シート!Q71="", "", 基本情報入力シート!Q71)</f>
        <v/>
      </c>
      <c r="I49" s="304" t="str">
        <f>IF(基本情報入力シート!V71="", "", 基本情報入力シート!V71)</f>
        <v/>
      </c>
      <c r="J49" s="304" t="str">
        <f>IF(基本情報入力シート!W71="", "", 基本情報入力シート!W71)</f>
        <v/>
      </c>
      <c r="K49" s="304" t="str">
        <f>IF(基本情報入力シート!Z71="", "", 基本情報入力シート!Z71)</f>
        <v/>
      </c>
      <c r="L49" s="558" t="str">
        <f>IF(基本情報入力シート!AF71=0, "",基本情報入力シート!AF71)</f>
        <v/>
      </c>
      <c r="M49" s="524" t="str">
        <f>IF('別紙様式2-2（個票（４、５月））'!M49="","",'別紙様式2-2（個票（４、５月））'!M49)</f>
        <v/>
      </c>
      <c r="N49" s="523" t="str">
        <f>IF('別紙様式2-2（個票（４、５月））'!N49="","",'別紙様式2-2（個票（４、５月））'!N49)</f>
        <v/>
      </c>
      <c r="O49" s="286"/>
      <c r="P49" s="555" t="str">
        <f>IFERROR(VLOOKUP(K49,【参考】数式用!$A$2:$M$57,MATCH(O49,【参考】数式用!$G$3:$M$3,0)+6,0),"")</f>
        <v/>
      </c>
      <c r="Q49" s="310" t="s">
        <v>118</v>
      </c>
      <c r="R49" s="308"/>
      <c r="S49" s="309" t="s">
        <v>183</v>
      </c>
      <c r="T49" s="308"/>
      <c r="U49" s="309" t="s">
        <v>184</v>
      </c>
      <c r="V49" s="308"/>
      <c r="W49" s="309" t="s">
        <v>183</v>
      </c>
      <c r="X49" s="308"/>
      <c r="Y49" s="309" t="s">
        <v>120</v>
      </c>
      <c r="Z49" s="309" t="s">
        <v>186</v>
      </c>
      <c r="AA49" s="309" t="str">
        <f t="shared" si="29"/>
        <v/>
      </c>
      <c r="AB49" s="305" t="s">
        <v>187</v>
      </c>
      <c r="AC49" s="306" t="str">
        <f t="shared" si="10"/>
        <v/>
      </c>
      <c r="AD49" s="515" t="str">
        <f t="shared" si="11"/>
        <v/>
      </c>
      <c r="AE49" s="307" t="str">
        <f>IFERROR(ROUNDDOWN(ROUNDDOWN(ROUND(L49*VLOOKUP(K49,【参考】数式用!$A$2:$M$57,MATCH("処遇改善加算Ⅳ",【参考】数式用!$G$3:$M$3,0)+6,0),0),0)*AA49*0.5,0), "")</f>
        <v/>
      </c>
      <c r="AF49" s="318"/>
      <c r="AG49" s="319"/>
      <c r="AH49" s="319"/>
      <c r="AI49" s="318"/>
      <c r="AJ49" s="320"/>
      <c r="AK49" s="326"/>
      <c r="AL49" s="324" t="str">
        <f t="shared" si="31"/>
        <v/>
      </c>
      <c r="AM49" s="325" t="str">
        <f t="shared" si="12"/>
        <v/>
      </c>
      <c r="AN49" s="255"/>
      <c r="AO49" s="557" t="str">
        <f>IFERROR(VLOOKUP(K49,【参考】数式用!$A$2:$N$57,14,FALSE),"")</f>
        <v/>
      </c>
      <c r="AP49" s="557" t="str">
        <f t="shared" si="13"/>
        <v/>
      </c>
      <c r="AQ49" s="561" t="str">
        <f t="shared" si="32"/>
        <v/>
      </c>
      <c r="AR49" s="561" t="str">
        <f t="shared" si="30"/>
        <v>キャリアパス要件Ⅰ・Ⅱ_</v>
      </c>
      <c r="AS49" s="540" t="str">
        <f t="shared" si="33"/>
        <v>入力済</v>
      </c>
      <c r="AT49" s="557" t="str">
        <f t="shared" si="14"/>
        <v/>
      </c>
      <c r="AU49" s="540" t="str">
        <f t="shared" si="34"/>
        <v>入力済</v>
      </c>
      <c r="AV49" s="540" t="str">
        <f t="shared" si="35"/>
        <v/>
      </c>
      <c r="AW49" s="576" t="str">
        <f t="shared" si="15"/>
        <v/>
      </c>
      <c r="AX49" s="557" t="str">
        <f t="shared" si="36"/>
        <v/>
      </c>
      <c r="AY49" s="540" t="str">
        <f>IFERROR(VLOOKUP(K49,【参考】数式用!$AR$3:$AS$49, 2, FALSE), "")</f>
        <v/>
      </c>
      <c r="AZ49" s="557" t="str">
        <f t="shared" si="16"/>
        <v/>
      </c>
      <c r="BA49" s="560" t="str">
        <f t="shared" si="37"/>
        <v>入力済</v>
      </c>
      <c r="BB49" s="540" t="str">
        <f>IFERROR(VLOOKUP(K49,【参考】数式用!$AX$3:$AY$59, 2, FALSE), "")</f>
        <v/>
      </c>
      <c r="BC49" s="557" t="str">
        <f t="shared" si="17"/>
        <v/>
      </c>
      <c r="BD49" s="560" t="str">
        <f t="shared" si="38"/>
        <v>入力済</v>
      </c>
      <c r="BE49" s="560" t="str">
        <f t="shared" si="18"/>
        <v/>
      </c>
      <c r="BF49" s="560" t="str">
        <f t="shared" si="19"/>
        <v/>
      </c>
      <c r="BG49" s="560" t="str">
        <f t="shared" si="20"/>
        <v/>
      </c>
      <c r="BH49" s="560" t="str">
        <f t="shared" si="39"/>
        <v/>
      </c>
      <c r="BI49" s="560" t="str">
        <f t="shared" si="40"/>
        <v/>
      </c>
      <c r="BK49" s="27"/>
      <c r="BL49" s="607" t="str">
        <f t="shared" si="21"/>
        <v/>
      </c>
      <c r="BM49" s="607" t="str">
        <f t="shared" si="22"/>
        <v/>
      </c>
      <c r="BN49" s="607" t="str">
        <f t="shared" si="23"/>
        <v/>
      </c>
      <c r="BO49" s="608" t="str">
        <f>IF(BM49="","",ROUNDDOWN(L49*VLOOKUP(K49,【参考】数式用!$A$4:$J$42,10,FALSE)*AA49,0))</f>
        <v/>
      </c>
      <c r="BP49" s="607" t="str">
        <f t="shared" si="24"/>
        <v/>
      </c>
      <c r="BQ49" s="607" t="str">
        <f t="shared" si="25"/>
        <v/>
      </c>
      <c r="BR49" s="609" t="str">
        <f t="shared" si="26"/>
        <v/>
      </c>
      <c r="BS49" s="609" t="str">
        <f t="shared" si="27"/>
        <v/>
      </c>
      <c r="BT49" s="607" t="str">
        <f t="shared" si="28"/>
        <v/>
      </c>
      <c r="BU49" s="608" t="str">
        <f>IF(BT49="Ⅱロ有り",ROUNDDOWN(L49*VLOOKUP(K49,【参考】数式用!$A$4:$J$42,10,FALSE)*AA49,0),"")</f>
        <v/>
      </c>
      <c r="BV49" s="607" t="str">
        <f>IF(BT49="Ⅱロなし",ROUNDDOWN(L49*VLOOKUP(K49,【参考】数式用!$A$4:$J$42,8,FALSE)*AA49,0),"")</f>
        <v/>
      </c>
    </row>
    <row r="50" spans="1:74" ht="109.9" customHeight="1" thickBot="1">
      <c r="A50" s="303">
        <v>37</v>
      </c>
      <c r="B50" s="956" t="str">
        <f>IF(基本情報入力シート!B72="","",基本情報入力シート!B72)</f>
        <v/>
      </c>
      <c r="C50" s="957"/>
      <c r="D50" s="957"/>
      <c r="E50" s="957"/>
      <c r="F50" s="958"/>
      <c r="G50" s="304" t="str">
        <f>IF(基本情報入力シート!L72="", "", 基本情報入力シート!L72)</f>
        <v/>
      </c>
      <c r="H50" s="304" t="str">
        <f>IF(基本情報入力シート!Q72="", "", 基本情報入力シート!Q72)</f>
        <v/>
      </c>
      <c r="I50" s="304" t="str">
        <f>IF(基本情報入力シート!V72="", "", 基本情報入力シート!V72)</f>
        <v/>
      </c>
      <c r="J50" s="304" t="str">
        <f>IF(基本情報入力シート!W72="", "", 基本情報入力シート!W72)</f>
        <v/>
      </c>
      <c r="K50" s="304" t="str">
        <f>IF(基本情報入力シート!Z72="", "", 基本情報入力シート!Z72)</f>
        <v/>
      </c>
      <c r="L50" s="558" t="str">
        <f>IF(基本情報入力シート!AF72=0, "",基本情報入力シート!AF72)</f>
        <v/>
      </c>
      <c r="M50" s="524" t="str">
        <f>IF('別紙様式2-2（個票（４、５月））'!M50="","",'別紙様式2-2（個票（４、５月））'!M50)</f>
        <v/>
      </c>
      <c r="N50" s="523" t="str">
        <f>IF('別紙様式2-2（個票（４、５月））'!N50="","",'別紙様式2-2（個票（４、５月））'!N50)</f>
        <v/>
      </c>
      <c r="O50" s="286"/>
      <c r="P50" s="555" t="str">
        <f>IFERROR(VLOOKUP(K50,【参考】数式用!$A$2:$M$57,MATCH(O50,【参考】数式用!$G$3:$M$3,0)+6,0),"")</f>
        <v/>
      </c>
      <c r="Q50" s="310" t="s">
        <v>118</v>
      </c>
      <c r="R50" s="308"/>
      <c r="S50" s="309" t="s">
        <v>183</v>
      </c>
      <c r="T50" s="308"/>
      <c r="U50" s="309" t="s">
        <v>184</v>
      </c>
      <c r="V50" s="308"/>
      <c r="W50" s="309" t="s">
        <v>183</v>
      </c>
      <c r="X50" s="308"/>
      <c r="Y50" s="309" t="s">
        <v>185</v>
      </c>
      <c r="Z50" s="309" t="s">
        <v>186</v>
      </c>
      <c r="AA50" s="309" t="str">
        <f t="shared" si="29"/>
        <v/>
      </c>
      <c r="AB50" s="305" t="s">
        <v>187</v>
      </c>
      <c r="AC50" s="306" t="str">
        <f t="shared" si="10"/>
        <v/>
      </c>
      <c r="AD50" s="515" t="str">
        <f t="shared" si="11"/>
        <v/>
      </c>
      <c r="AE50" s="307" t="str">
        <f>IFERROR(ROUNDDOWN(ROUNDDOWN(ROUND(L50*VLOOKUP(K50,【参考】数式用!$A$2:$M$57,MATCH("処遇改善加算Ⅳ",【参考】数式用!$G$3:$M$3,0)+6,0),0),0)*AA50*0.5,0), "")</f>
        <v/>
      </c>
      <c r="AF50" s="318"/>
      <c r="AG50" s="319"/>
      <c r="AH50" s="319"/>
      <c r="AI50" s="318"/>
      <c r="AJ50" s="320"/>
      <c r="AK50" s="326"/>
      <c r="AL50" s="324" t="str">
        <f t="shared" si="31"/>
        <v/>
      </c>
      <c r="AM50" s="325" t="str">
        <f t="shared" si="12"/>
        <v/>
      </c>
      <c r="AN50" s="255"/>
      <c r="AO50" s="557" t="str">
        <f>IFERROR(VLOOKUP(K50,【参考】数式用!$A$2:$N$57,14,FALSE),"")</f>
        <v/>
      </c>
      <c r="AP50" s="557" t="str">
        <f t="shared" si="13"/>
        <v/>
      </c>
      <c r="AQ50" s="561" t="str">
        <f t="shared" si="32"/>
        <v/>
      </c>
      <c r="AR50" s="561" t="str">
        <f t="shared" si="30"/>
        <v>キャリアパス要件Ⅰ・Ⅱ_</v>
      </c>
      <c r="AS50" s="540" t="str">
        <f t="shared" si="33"/>
        <v>入力済</v>
      </c>
      <c r="AT50" s="557" t="str">
        <f t="shared" si="14"/>
        <v/>
      </c>
      <c r="AU50" s="540" t="str">
        <f t="shared" si="34"/>
        <v>入力済</v>
      </c>
      <c r="AV50" s="540" t="str">
        <f t="shared" si="35"/>
        <v/>
      </c>
      <c r="AW50" s="576" t="str">
        <f t="shared" si="15"/>
        <v/>
      </c>
      <c r="AX50" s="557" t="str">
        <f t="shared" si="36"/>
        <v/>
      </c>
      <c r="AY50" s="540" t="str">
        <f>IFERROR(VLOOKUP(K50,【参考】数式用!$AR$3:$AS$49, 2, FALSE), "")</f>
        <v/>
      </c>
      <c r="AZ50" s="557" t="str">
        <f t="shared" si="16"/>
        <v/>
      </c>
      <c r="BA50" s="560" t="str">
        <f t="shared" si="37"/>
        <v>入力済</v>
      </c>
      <c r="BB50" s="540" t="str">
        <f>IFERROR(VLOOKUP(K50,【参考】数式用!$AX$3:$AY$59, 2, FALSE), "")</f>
        <v/>
      </c>
      <c r="BC50" s="557" t="str">
        <f t="shared" si="17"/>
        <v/>
      </c>
      <c r="BD50" s="560" t="str">
        <f t="shared" si="38"/>
        <v>入力済</v>
      </c>
      <c r="BE50" s="560" t="str">
        <f t="shared" si="18"/>
        <v/>
      </c>
      <c r="BF50" s="560" t="str">
        <f t="shared" si="19"/>
        <v/>
      </c>
      <c r="BG50" s="560" t="str">
        <f t="shared" si="20"/>
        <v/>
      </c>
      <c r="BH50" s="560" t="str">
        <f t="shared" si="39"/>
        <v/>
      </c>
      <c r="BI50" s="560" t="str">
        <f t="shared" si="40"/>
        <v/>
      </c>
      <c r="BK50" s="27"/>
      <c r="BL50" s="607" t="str">
        <f t="shared" si="21"/>
        <v/>
      </c>
      <c r="BM50" s="607" t="str">
        <f t="shared" si="22"/>
        <v/>
      </c>
      <c r="BN50" s="607" t="str">
        <f t="shared" si="23"/>
        <v/>
      </c>
      <c r="BO50" s="608" t="str">
        <f>IF(BM50="","",ROUNDDOWN(L50*VLOOKUP(K50,【参考】数式用!$A$4:$J$42,10,FALSE)*AA50,0))</f>
        <v/>
      </c>
      <c r="BP50" s="607" t="str">
        <f t="shared" si="24"/>
        <v/>
      </c>
      <c r="BQ50" s="607" t="str">
        <f t="shared" si="25"/>
        <v/>
      </c>
      <c r="BR50" s="609" t="str">
        <f t="shared" si="26"/>
        <v/>
      </c>
      <c r="BS50" s="609" t="str">
        <f t="shared" si="27"/>
        <v/>
      </c>
      <c r="BT50" s="607" t="str">
        <f t="shared" si="28"/>
        <v/>
      </c>
      <c r="BU50" s="608" t="str">
        <f>IF(BT50="Ⅱロ有り",ROUNDDOWN(L50*VLOOKUP(K50,【参考】数式用!$A$4:$J$42,10,FALSE)*AA50,0),"")</f>
        <v/>
      </c>
      <c r="BV50" s="607" t="str">
        <f>IF(BT50="Ⅱロなし",ROUNDDOWN(L50*VLOOKUP(K50,【参考】数式用!$A$4:$J$42,8,FALSE)*AA50,0),"")</f>
        <v/>
      </c>
    </row>
    <row r="51" spans="1:74" ht="109.9" customHeight="1" thickBot="1">
      <c r="A51" s="303">
        <v>38</v>
      </c>
      <c r="B51" s="956" t="str">
        <f>IF(基本情報入力シート!B73="","",基本情報入力シート!B73)</f>
        <v/>
      </c>
      <c r="C51" s="957"/>
      <c r="D51" s="957"/>
      <c r="E51" s="957"/>
      <c r="F51" s="958"/>
      <c r="G51" s="304" t="str">
        <f>IF(基本情報入力シート!L73="", "", 基本情報入力シート!L73)</f>
        <v/>
      </c>
      <c r="H51" s="304" t="str">
        <f>IF(基本情報入力シート!Q73="", "", 基本情報入力シート!Q73)</f>
        <v/>
      </c>
      <c r="I51" s="304" t="str">
        <f>IF(基本情報入力シート!V73="", "", 基本情報入力シート!V73)</f>
        <v/>
      </c>
      <c r="J51" s="304" t="str">
        <f>IF(基本情報入力シート!W73="", "", 基本情報入力シート!W73)</f>
        <v/>
      </c>
      <c r="K51" s="304" t="str">
        <f>IF(基本情報入力シート!Z73="", "", 基本情報入力シート!Z73)</f>
        <v/>
      </c>
      <c r="L51" s="558" t="str">
        <f>IF(基本情報入力シート!AF73=0, "",基本情報入力シート!AF73)</f>
        <v/>
      </c>
      <c r="M51" s="524" t="str">
        <f>IF('別紙様式2-2（個票（４、５月））'!M51="","",'別紙様式2-2（個票（４、５月））'!M51)</f>
        <v/>
      </c>
      <c r="N51" s="523" t="str">
        <f>IF('別紙様式2-2（個票（４、５月））'!N51="","",'別紙様式2-2（個票（４、５月））'!N51)</f>
        <v/>
      </c>
      <c r="O51" s="286"/>
      <c r="P51" s="555" t="str">
        <f>IFERROR(VLOOKUP(K51,【参考】数式用!$A$2:$M$57,MATCH(O51,【参考】数式用!$G$3:$M$3,0)+6,0),"")</f>
        <v/>
      </c>
      <c r="Q51" s="310" t="s">
        <v>118</v>
      </c>
      <c r="R51" s="308"/>
      <c r="S51" s="309" t="s">
        <v>183</v>
      </c>
      <c r="T51" s="308"/>
      <c r="U51" s="309" t="s">
        <v>184</v>
      </c>
      <c r="V51" s="308"/>
      <c r="W51" s="309" t="s">
        <v>183</v>
      </c>
      <c r="X51" s="308"/>
      <c r="Y51" s="309" t="s">
        <v>185</v>
      </c>
      <c r="Z51" s="309" t="s">
        <v>186</v>
      </c>
      <c r="AA51" s="309" t="str">
        <f t="shared" si="29"/>
        <v/>
      </c>
      <c r="AB51" s="305" t="s">
        <v>187</v>
      </c>
      <c r="AC51" s="306" t="str">
        <f t="shared" si="10"/>
        <v/>
      </c>
      <c r="AD51" s="515" t="str">
        <f t="shared" si="11"/>
        <v/>
      </c>
      <c r="AE51" s="307" t="str">
        <f>IFERROR(ROUNDDOWN(ROUNDDOWN(ROUND(L51*VLOOKUP(K51,【参考】数式用!$A$2:$M$57,MATCH("処遇改善加算Ⅳ",【参考】数式用!$G$3:$M$3,0)+6,0),0),0)*AA51*0.5,0), "")</f>
        <v/>
      </c>
      <c r="AF51" s="318"/>
      <c r="AG51" s="319"/>
      <c r="AH51" s="319"/>
      <c r="AI51" s="318"/>
      <c r="AJ51" s="320"/>
      <c r="AK51" s="326"/>
      <c r="AL51" s="324" t="str">
        <f t="shared" si="31"/>
        <v/>
      </c>
      <c r="AM51" s="325" t="str">
        <f t="shared" si="12"/>
        <v/>
      </c>
      <c r="AN51" s="255"/>
      <c r="AO51" s="557" t="str">
        <f>IFERROR(VLOOKUP(K51,【参考】数式用!$A$2:$N$57,14,FALSE),"")</f>
        <v/>
      </c>
      <c r="AP51" s="557" t="str">
        <f t="shared" si="13"/>
        <v/>
      </c>
      <c r="AQ51" s="561" t="str">
        <f t="shared" si="32"/>
        <v/>
      </c>
      <c r="AR51" s="561" t="str">
        <f t="shared" si="30"/>
        <v>キャリアパス要件Ⅰ・Ⅱ_</v>
      </c>
      <c r="AS51" s="540" t="str">
        <f t="shared" si="33"/>
        <v>入力済</v>
      </c>
      <c r="AT51" s="557" t="str">
        <f t="shared" si="14"/>
        <v/>
      </c>
      <c r="AU51" s="540" t="str">
        <f t="shared" si="34"/>
        <v>入力済</v>
      </c>
      <c r="AV51" s="540" t="str">
        <f t="shared" si="35"/>
        <v/>
      </c>
      <c r="AW51" s="576" t="str">
        <f t="shared" si="15"/>
        <v/>
      </c>
      <c r="AX51" s="557" t="str">
        <f t="shared" si="36"/>
        <v/>
      </c>
      <c r="AY51" s="540" t="str">
        <f>IFERROR(VLOOKUP(K51,【参考】数式用!$AR$3:$AS$49, 2, FALSE), "")</f>
        <v/>
      </c>
      <c r="AZ51" s="557" t="str">
        <f t="shared" si="16"/>
        <v/>
      </c>
      <c r="BA51" s="560" t="str">
        <f t="shared" si="37"/>
        <v>入力済</v>
      </c>
      <c r="BB51" s="540" t="str">
        <f>IFERROR(VLOOKUP(K51,【参考】数式用!$AX$3:$AY$59, 2, FALSE), "")</f>
        <v/>
      </c>
      <c r="BC51" s="557" t="str">
        <f t="shared" si="17"/>
        <v/>
      </c>
      <c r="BD51" s="560" t="str">
        <f t="shared" si="38"/>
        <v>入力済</v>
      </c>
      <c r="BE51" s="560" t="str">
        <f t="shared" si="18"/>
        <v/>
      </c>
      <c r="BF51" s="560" t="str">
        <f t="shared" si="19"/>
        <v/>
      </c>
      <c r="BG51" s="560" t="str">
        <f t="shared" si="20"/>
        <v/>
      </c>
      <c r="BH51" s="560" t="str">
        <f t="shared" si="39"/>
        <v/>
      </c>
      <c r="BI51" s="560" t="str">
        <f t="shared" si="40"/>
        <v/>
      </c>
      <c r="BK51" s="27"/>
      <c r="BL51" s="607" t="str">
        <f t="shared" si="21"/>
        <v/>
      </c>
      <c r="BM51" s="607" t="str">
        <f t="shared" si="22"/>
        <v/>
      </c>
      <c r="BN51" s="607" t="str">
        <f t="shared" si="23"/>
        <v/>
      </c>
      <c r="BO51" s="608" t="str">
        <f>IF(BM51="","",ROUNDDOWN(L51*VLOOKUP(K51,【参考】数式用!$A$4:$J$42,10,FALSE)*AA51,0))</f>
        <v/>
      </c>
      <c r="BP51" s="607" t="str">
        <f t="shared" si="24"/>
        <v/>
      </c>
      <c r="BQ51" s="607" t="str">
        <f t="shared" si="25"/>
        <v/>
      </c>
      <c r="BR51" s="609" t="str">
        <f t="shared" si="26"/>
        <v/>
      </c>
      <c r="BS51" s="609" t="str">
        <f t="shared" si="27"/>
        <v/>
      </c>
      <c r="BT51" s="607" t="str">
        <f t="shared" si="28"/>
        <v/>
      </c>
      <c r="BU51" s="608" t="str">
        <f>IF(BT51="Ⅱロ有り",ROUNDDOWN(L51*VLOOKUP(K51,【参考】数式用!$A$4:$J$42,10,FALSE)*AA51,0),"")</f>
        <v/>
      </c>
      <c r="BV51" s="607" t="str">
        <f>IF(BT51="Ⅱロなし",ROUNDDOWN(L51*VLOOKUP(K51,【参考】数式用!$A$4:$J$42,8,FALSE)*AA51,0),"")</f>
        <v/>
      </c>
    </row>
    <row r="52" spans="1:74" ht="109.9" customHeight="1" thickBot="1">
      <c r="A52" s="303">
        <v>39</v>
      </c>
      <c r="B52" s="956" t="str">
        <f>IF(基本情報入力シート!B74="","",基本情報入力シート!B74)</f>
        <v/>
      </c>
      <c r="C52" s="957"/>
      <c r="D52" s="957"/>
      <c r="E52" s="957"/>
      <c r="F52" s="958"/>
      <c r="G52" s="304" t="str">
        <f>IF(基本情報入力シート!L74="", "", 基本情報入力シート!L74)</f>
        <v/>
      </c>
      <c r="H52" s="304" t="str">
        <f>IF(基本情報入力シート!Q74="", "", 基本情報入力シート!Q74)</f>
        <v/>
      </c>
      <c r="I52" s="304" t="str">
        <f>IF(基本情報入力シート!V74="", "", 基本情報入力シート!V74)</f>
        <v/>
      </c>
      <c r="J52" s="304" t="str">
        <f>IF(基本情報入力シート!W74="", "", 基本情報入力シート!W74)</f>
        <v/>
      </c>
      <c r="K52" s="304" t="str">
        <f>IF(基本情報入力シート!Z74="", "", 基本情報入力シート!Z74)</f>
        <v/>
      </c>
      <c r="L52" s="558" t="str">
        <f>IF(基本情報入力シート!AF74=0, "",基本情報入力シート!AF74)</f>
        <v/>
      </c>
      <c r="M52" s="524" t="str">
        <f>IF('別紙様式2-2（個票（４、５月））'!M52="","",'別紙様式2-2（個票（４、５月））'!M52)</f>
        <v/>
      </c>
      <c r="N52" s="523" t="str">
        <f>IF('別紙様式2-2（個票（４、５月））'!N52="","",'別紙様式2-2（個票（４、５月））'!N52)</f>
        <v/>
      </c>
      <c r="O52" s="286"/>
      <c r="P52" s="555" t="str">
        <f>IFERROR(VLOOKUP(K52,【参考】数式用!$A$2:$M$57,MATCH(O52,【参考】数式用!$G$3:$M$3,0)+6,0),"")</f>
        <v/>
      </c>
      <c r="Q52" s="310" t="s">
        <v>118</v>
      </c>
      <c r="R52" s="308"/>
      <c r="S52" s="309" t="s">
        <v>183</v>
      </c>
      <c r="T52" s="308"/>
      <c r="U52" s="309" t="s">
        <v>184</v>
      </c>
      <c r="V52" s="308"/>
      <c r="W52" s="309" t="s">
        <v>183</v>
      </c>
      <c r="X52" s="308"/>
      <c r="Y52" s="309" t="s">
        <v>185</v>
      </c>
      <c r="Z52" s="309" t="s">
        <v>186</v>
      </c>
      <c r="AA52" s="309" t="str">
        <f t="shared" si="29"/>
        <v/>
      </c>
      <c r="AB52" s="305" t="s">
        <v>187</v>
      </c>
      <c r="AC52" s="306" t="str">
        <f t="shared" si="10"/>
        <v/>
      </c>
      <c r="AD52" s="515" t="str">
        <f t="shared" si="11"/>
        <v/>
      </c>
      <c r="AE52" s="307" t="str">
        <f>IFERROR(ROUNDDOWN(ROUNDDOWN(ROUND(L52*VLOOKUP(K52,【参考】数式用!$A$2:$M$57,MATCH("処遇改善加算Ⅳ",【参考】数式用!$G$3:$M$3,0)+6,0),0),0)*AA52*0.5,0), "")</f>
        <v/>
      </c>
      <c r="AF52" s="318"/>
      <c r="AG52" s="319"/>
      <c r="AH52" s="319"/>
      <c r="AI52" s="318"/>
      <c r="AJ52" s="320"/>
      <c r="AK52" s="326"/>
      <c r="AL52" s="324" t="str">
        <f t="shared" si="31"/>
        <v/>
      </c>
      <c r="AM52" s="325" t="str">
        <f t="shared" si="12"/>
        <v/>
      </c>
      <c r="AN52" s="255"/>
      <c r="AO52" s="557" t="str">
        <f>IFERROR(VLOOKUP(K52,【参考】数式用!$A$2:$N$57,14,FALSE),"")</f>
        <v/>
      </c>
      <c r="AP52" s="557" t="str">
        <f t="shared" si="13"/>
        <v/>
      </c>
      <c r="AQ52" s="561" t="str">
        <f t="shared" si="32"/>
        <v/>
      </c>
      <c r="AR52" s="561" t="str">
        <f t="shared" si="30"/>
        <v>キャリアパス要件Ⅰ・Ⅱ_</v>
      </c>
      <c r="AS52" s="540" t="str">
        <f t="shared" si="33"/>
        <v>入力済</v>
      </c>
      <c r="AT52" s="557" t="str">
        <f t="shared" si="14"/>
        <v/>
      </c>
      <c r="AU52" s="540" t="str">
        <f t="shared" si="34"/>
        <v>入力済</v>
      </c>
      <c r="AV52" s="540" t="str">
        <f t="shared" si="35"/>
        <v/>
      </c>
      <c r="AW52" s="576" t="str">
        <f t="shared" si="15"/>
        <v/>
      </c>
      <c r="AX52" s="557" t="str">
        <f t="shared" si="36"/>
        <v/>
      </c>
      <c r="AY52" s="540" t="str">
        <f>IFERROR(VLOOKUP(K52,【参考】数式用!$AR$3:$AS$49, 2, FALSE), "")</f>
        <v/>
      </c>
      <c r="AZ52" s="557" t="str">
        <f t="shared" si="16"/>
        <v/>
      </c>
      <c r="BA52" s="560" t="str">
        <f t="shared" si="37"/>
        <v>入力済</v>
      </c>
      <c r="BB52" s="540" t="str">
        <f>IFERROR(VLOOKUP(K52,【参考】数式用!$AX$3:$AY$59, 2, FALSE), "")</f>
        <v/>
      </c>
      <c r="BC52" s="557" t="str">
        <f t="shared" si="17"/>
        <v/>
      </c>
      <c r="BD52" s="560" t="str">
        <f t="shared" si="38"/>
        <v>入力済</v>
      </c>
      <c r="BE52" s="560" t="str">
        <f t="shared" si="18"/>
        <v/>
      </c>
      <c r="BF52" s="560" t="str">
        <f t="shared" si="19"/>
        <v/>
      </c>
      <c r="BG52" s="560" t="str">
        <f t="shared" si="20"/>
        <v/>
      </c>
      <c r="BH52" s="560" t="str">
        <f t="shared" si="39"/>
        <v/>
      </c>
      <c r="BI52" s="560" t="str">
        <f t="shared" si="40"/>
        <v/>
      </c>
      <c r="BK52" s="27"/>
      <c r="BL52" s="607" t="str">
        <f t="shared" si="21"/>
        <v/>
      </c>
      <c r="BM52" s="607" t="str">
        <f t="shared" si="22"/>
        <v/>
      </c>
      <c r="BN52" s="607" t="str">
        <f t="shared" si="23"/>
        <v/>
      </c>
      <c r="BO52" s="608" t="str">
        <f>IF(BM52="","",ROUNDDOWN(L52*VLOOKUP(K52,【参考】数式用!$A$4:$J$42,10,FALSE)*AA52,0))</f>
        <v/>
      </c>
      <c r="BP52" s="607" t="str">
        <f t="shared" si="24"/>
        <v/>
      </c>
      <c r="BQ52" s="607" t="str">
        <f t="shared" si="25"/>
        <v/>
      </c>
      <c r="BR52" s="609" t="str">
        <f t="shared" si="26"/>
        <v/>
      </c>
      <c r="BS52" s="609" t="str">
        <f t="shared" si="27"/>
        <v/>
      </c>
      <c r="BT52" s="607" t="str">
        <f t="shared" si="28"/>
        <v/>
      </c>
      <c r="BU52" s="608" t="str">
        <f>IF(BT52="Ⅱロ有り",ROUNDDOWN(L52*VLOOKUP(K52,【参考】数式用!$A$4:$J$42,10,FALSE)*AA52,0),"")</f>
        <v/>
      </c>
      <c r="BV52" s="607" t="str">
        <f>IF(BT52="Ⅱロなし",ROUNDDOWN(L52*VLOOKUP(K52,【参考】数式用!$A$4:$J$42,8,FALSE)*AA52,0),"")</f>
        <v/>
      </c>
    </row>
    <row r="53" spans="1:74" ht="109.9" customHeight="1" thickBot="1">
      <c r="A53" s="303">
        <v>40</v>
      </c>
      <c r="B53" s="956" t="str">
        <f>IF(基本情報入力シート!B75="","",基本情報入力シート!B75)</f>
        <v/>
      </c>
      <c r="C53" s="957"/>
      <c r="D53" s="957"/>
      <c r="E53" s="957"/>
      <c r="F53" s="958"/>
      <c r="G53" s="304" t="str">
        <f>IF(基本情報入力シート!L75="", "", 基本情報入力シート!L75)</f>
        <v/>
      </c>
      <c r="H53" s="304" t="str">
        <f>IF(基本情報入力シート!Q75="", "", 基本情報入力シート!Q75)</f>
        <v/>
      </c>
      <c r="I53" s="304" t="str">
        <f>IF(基本情報入力シート!V75="", "", 基本情報入力シート!V75)</f>
        <v/>
      </c>
      <c r="J53" s="304" t="str">
        <f>IF(基本情報入力シート!W75="", "", 基本情報入力シート!W75)</f>
        <v/>
      </c>
      <c r="K53" s="304" t="str">
        <f>IF(基本情報入力シート!Z75="", "", 基本情報入力シート!Z75)</f>
        <v/>
      </c>
      <c r="L53" s="558" t="str">
        <f>IF(基本情報入力シート!AF75=0, "",基本情報入力シート!AF75)</f>
        <v/>
      </c>
      <c r="M53" s="524" t="str">
        <f>IF('別紙様式2-2（個票（４、５月））'!M53="","",'別紙様式2-2（個票（４、５月））'!M53)</f>
        <v/>
      </c>
      <c r="N53" s="523" t="str">
        <f>IF('別紙様式2-2（個票（４、５月））'!N53="","",'別紙様式2-2（個票（４、５月））'!N53)</f>
        <v/>
      </c>
      <c r="O53" s="286"/>
      <c r="P53" s="555" t="str">
        <f>IFERROR(VLOOKUP(K53,【参考】数式用!$A$2:$M$57,MATCH(O53,【参考】数式用!$G$3:$M$3,0)+6,0),"")</f>
        <v/>
      </c>
      <c r="Q53" s="310" t="s">
        <v>118</v>
      </c>
      <c r="R53" s="308"/>
      <c r="S53" s="309" t="s">
        <v>183</v>
      </c>
      <c r="T53" s="308"/>
      <c r="U53" s="309" t="s">
        <v>184</v>
      </c>
      <c r="V53" s="308"/>
      <c r="W53" s="309" t="s">
        <v>183</v>
      </c>
      <c r="X53" s="308"/>
      <c r="Y53" s="309" t="s">
        <v>120</v>
      </c>
      <c r="Z53" s="309" t="s">
        <v>186</v>
      </c>
      <c r="AA53" s="309" t="str">
        <f t="shared" si="29"/>
        <v/>
      </c>
      <c r="AB53" s="305" t="s">
        <v>187</v>
      </c>
      <c r="AC53" s="306" t="str">
        <f t="shared" si="10"/>
        <v/>
      </c>
      <c r="AD53" s="515" t="str">
        <f t="shared" si="11"/>
        <v/>
      </c>
      <c r="AE53" s="307" t="str">
        <f>IFERROR(ROUNDDOWN(ROUNDDOWN(ROUND(L53*VLOOKUP(K53,【参考】数式用!$A$2:$M$57,MATCH("処遇改善加算Ⅳ",【参考】数式用!$G$3:$M$3,0)+6,0),0),0)*AA53*0.5,0), "")</f>
        <v/>
      </c>
      <c r="AF53" s="318"/>
      <c r="AG53" s="319"/>
      <c r="AH53" s="319"/>
      <c r="AI53" s="318"/>
      <c r="AJ53" s="320"/>
      <c r="AK53" s="326"/>
      <c r="AL53" s="324" t="str">
        <f t="shared" si="31"/>
        <v/>
      </c>
      <c r="AM53" s="325" t="str">
        <f t="shared" si="12"/>
        <v/>
      </c>
      <c r="AN53" s="255"/>
      <c r="AO53" s="557" t="str">
        <f>IFERROR(VLOOKUP(K53,【参考】数式用!$A$2:$N$57,14,FALSE),"")</f>
        <v/>
      </c>
      <c r="AP53" s="557" t="str">
        <f t="shared" si="13"/>
        <v/>
      </c>
      <c r="AQ53" s="561" t="str">
        <f t="shared" si="32"/>
        <v/>
      </c>
      <c r="AR53" s="561" t="str">
        <f t="shared" si="30"/>
        <v>キャリアパス要件Ⅰ・Ⅱ_</v>
      </c>
      <c r="AS53" s="540" t="str">
        <f t="shared" si="33"/>
        <v>入力済</v>
      </c>
      <c r="AT53" s="557" t="str">
        <f t="shared" si="14"/>
        <v/>
      </c>
      <c r="AU53" s="540" t="str">
        <f t="shared" si="34"/>
        <v>入力済</v>
      </c>
      <c r="AV53" s="540" t="str">
        <f t="shared" si="35"/>
        <v/>
      </c>
      <c r="AW53" s="576" t="str">
        <f t="shared" si="15"/>
        <v/>
      </c>
      <c r="AX53" s="557" t="str">
        <f t="shared" si="36"/>
        <v/>
      </c>
      <c r="AY53" s="540" t="str">
        <f>IFERROR(VLOOKUP(K53,【参考】数式用!$AR$3:$AS$49, 2, FALSE), "")</f>
        <v/>
      </c>
      <c r="AZ53" s="557" t="str">
        <f t="shared" si="16"/>
        <v/>
      </c>
      <c r="BA53" s="560" t="str">
        <f t="shared" si="37"/>
        <v>入力済</v>
      </c>
      <c r="BB53" s="540" t="str">
        <f>IFERROR(VLOOKUP(K53,【参考】数式用!$AX$3:$AY$59, 2, FALSE), "")</f>
        <v/>
      </c>
      <c r="BC53" s="557" t="str">
        <f t="shared" si="17"/>
        <v/>
      </c>
      <c r="BD53" s="560" t="str">
        <f t="shared" si="38"/>
        <v>入力済</v>
      </c>
      <c r="BE53" s="560" t="str">
        <f t="shared" si="18"/>
        <v/>
      </c>
      <c r="BF53" s="560" t="str">
        <f t="shared" si="19"/>
        <v/>
      </c>
      <c r="BG53" s="560" t="str">
        <f t="shared" si="20"/>
        <v/>
      </c>
      <c r="BH53" s="560" t="str">
        <f t="shared" si="39"/>
        <v/>
      </c>
      <c r="BI53" s="560" t="str">
        <f t="shared" si="40"/>
        <v/>
      </c>
      <c r="BK53" s="27"/>
      <c r="BL53" s="607" t="str">
        <f t="shared" si="21"/>
        <v/>
      </c>
      <c r="BM53" s="607" t="str">
        <f t="shared" si="22"/>
        <v/>
      </c>
      <c r="BN53" s="607" t="str">
        <f t="shared" si="23"/>
        <v/>
      </c>
      <c r="BO53" s="608" t="str">
        <f>IF(BM53="","",ROUNDDOWN(L53*VLOOKUP(K53,【参考】数式用!$A$4:$J$42,10,FALSE)*AA53,0))</f>
        <v/>
      </c>
      <c r="BP53" s="607" t="str">
        <f t="shared" si="24"/>
        <v/>
      </c>
      <c r="BQ53" s="607" t="str">
        <f t="shared" si="25"/>
        <v/>
      </c>
      <c r="BR53" s="609" t="str">
        <f t="shared" si="26"/>
        <v/>
      </c>
      <c r="BS53" s="609" t="str">
        <f t="shared" si="27"/>
        <v/>
      </c>
      <c r="BT53" s="607" t="str">
        <f t="shared" si="28"/>
        <v/>
      </c>
      <c r="BU53" s="608" t="str">
        <f>IF(BT53="Ⅱロ有り",ROUNDDOWN(L53*VLOOKUP(K53,【参考】数式用!$A$4:$J$42,10,FALSE)*AA53,0),"")</f>
        <v/>
      </c>
      <c r="BV53" s="607" t="str">
        <f>IF(BT53="Ⅱロなし",ROUNDDOWN(L53*VLOOKUP(K53,【参考】数式用!$A$4:$J$42,8,FALSE)*AA53,0),"")</f>
        <v/>
      </c>
    </row>
    <row r="54" spans="1:74" ht="109.9" customHeight="1" thickBot="1">
      <c r="A54" s="303">
        <v>41</v>
      </c>
      <c r="B54" s="956" t="str">
        <f>IF(基本情報入力シート!B76="","",基本情報入力シート!B76)</f>
        <v/>
      </c>
      <c r="C54" s="957"/>
      <c r="D54" s="957"/>
      <c r="E54" s="957"/>
      <c r="F54" s="958"/>
      <c r="G54" s="304" t="str">
        <f>IF(基本情報入力シート!L76="", "", 基本情報入力シート!L76)</f>
        <v/>
      </c>
      <c r="H54" s="304" t="str">
        <f>IF(基本情報入力シート!Q76="", "", 基本情報入力シート!Q76)</f>
        <v/>
      </c>
      <c r="I54" s="304" t="str">
        <f>IF(基本情報入力シート!V76="", "", 基本情報入力シート!V76)</f>
        <v/>
      </c>
      <c r="J54" s="304" t="str">
        <f>IF(基本情報入力シート!W76="", "", 基本情報入力シート!W76)</f>
        <v/>
      </c>
      <c r="K54" s="304" t="str">
        <f>IF(基本情報入力シート!Z76="", "", 基本情報入力シート!Z76)</f>
        <v/>
      </c>
      <c r="L54" s="558" t="str">
        <f>IF(基本情報入力シート!AF76=0, "",基本情報入力シート!AF76)</f>
        <v/>
      </c>
      <c r="M54" s="524" t="str">
        <f>IF('別紙様式2-2（個票（４、５月））'!M54="","",'別紙様式2-2（個票（４、５月））'!M54)</f>
        <v/>
      </c>
      <c r="N54" s="523" t="str">
        <f>IF('別紙様式2-2（個票（４、５月））'!N54="","",'別紙様式2-2（個票（４、５月））'!N54)</f>
        <v/>
      </c>
      <c r="O54" s="286"/>
      <c r="P54" s="555" t="str">
        <f>IFERROR(VLOOKUP(K54,【参考】数式用!$A$2:$M$57,MATCH(O54,【参考】数式用!$G$3:$M$3,0)+6,0),"")</f>
        <v/>
      </c>
      <c r="Q54" s="310" t="s">
        <v>118</v>
      </c>
      <c r="R54" s="308"/>
      <c r="S54" s="309" t="s">
        <v>183</v>
      </c>
      <c r="T54" s="308"/>
      <c r="U54" s="309" t="s">
        <v>184</v>
      </c>
      <c r="V54" s="308"/>
      <c r="W54" s="309" t="s">
        <v>183</v>
      </c>
      <c r="X54" s="308"/>
      <c r="Y54" s="309" t="s">
        <v>120</v>
      </c>
      <c r="Z54" s="309" t="s">
        <v>186</v>
      </c>
      <c r="AA54" s="309" t="str">
        <f t="shared" si="29"/>
        <v/>
      </c>
      <c r="AB54" s="305" t="s">
        <v>187</v>
      </c>
      <c r="AC54" s="306" t="str">
        <f t="shared" si="10"/>
        <v/>
      </c>
      <c r="AD54" s="515" t="str">
        <f t="shared" si="11"/>
        <v/>
      </c>
      <c r="AE54" s="307" t="str">
        <f>IFERROR(ROUNDDOWN(ROUNDDOWN(ROUND(L54*VLOOKUP(K54,【参考】数式用!$A$2:$M$57,MATCH("処遇改善加算Ⅳ",【参考】数式用!$G$3:$M$3,0)+6,0),0),0)*AA54*0.5,0), "")</f>
        <v/>
      </c>
      <c r="AF54" s="318"/>
      <c r="AG54" s="319"/>
      <c r="AH54" s="319"/>
      <c r="AI54" s="318"/>
      <c r="AJ54" s="320"/>
      <c r="AK54" s="326"/>
      <c r="AL54" s="324" t="str">
        <f t="shared" si="31"/>
        <v/>
      </c>
      <c r="AM54" s="325" t="str">
        <f t="shared" si="12"/>
        <v/>
      </c>
      <c r="AN54" s="255"/>
      <c r="AO54" s="557" t="str">
        <f>IFERROR(VLOOKUP(K54,【参考】数式用!$A$2:$N$57,14,FALSE),"")</f>
        <v/>
      </c>
      <c r="AP54" s="557" t="str">
        <f t="shared" si="13"/>
        <v/>
      </c>
      <c r="AQ54" s="561" t="str">
        <f t="shared" si="32"/>
        <v/>
      </c>
      <c r="AR54" s="561" t="str">
        <f t="shared" si="30"/>
        <v>キャリアパス要件Ⅰ・Ⅱ_</v>
      </c>
      <c r="AS54" s="540" t="str">
        <f t="shared" si="33"/>
        <v>入力済</v>
      </c>
      <c r="AT54" s="557" t="str">
        <f t="shared" si="14"/>
        <v/>
      </c>
      <c r="AU54" s="540" t="str">
        <f t="shared" si="34"/>
        <v>入力済</v>
      </c>
      <c r="AV54" s="540" t="str">
        <f t="shared" si="35"/>
        <v/>
      </c>
      <c r="AW54" s="576" t="str">
        <f t="shared" si="15"/>
        <v/>
      </c>
      <c r="AX54" s="557" t="str">
        <f t="shared" si="36"/>
        <v/>
      </c>
      <c r="AY54" s="540" t="str">
        <f>IFERROR(VLOOKUP(K54,【参考】数式用!$AR$3:$AS$49, 2, FALSE), "")</f>
        <v/>
      </c>
      <c r="AZ54" s="557" t="str">
        <f t="shared" si="16"/>
        <v/>
      </c>
      <c r="BA54" s="560" t="str">
        <f t="shared" si="37"/>
        <v>入力済</v>
      </c>
      <c r="BB54" s="540" t="str">
        <f>IFERROR(VLOOKUP(K54,【参考】数式用!$AX$3:$AY$59, 2, FALSE), "")</f>
        <v/>
      </c>
      <c r="BC54" s="557" t="str">
        <f t="shared" si="17"/>
        <v/>
      </c>
      <c r="BD54" s="560" t="str">
        <f t="shared" si="38"/>
        <v>入力済</v>
      </c>
      <c r="BE54" s="560" t="str">
        <f t="shared" si="18"/>
        <v/>
      </c>
      <c r="BF54" s="560" t="str">
        <f t="shared" si="19"/>
        <v/>
      </c>
      <c r="BG54" s="560" t="str">
        <f t="shared" si="20"/>
        <v/>
      </c>
      <c r="BH54" s="560" t="str">
        <f t="shared" si="39"/>
        <v/>
      </c>
      <c r="BI54" s="560" t="str">
        <f t="shared" si="40"/>
        <v/>
      </c>
      <c r="BK54" s="27"/>
      <c r="BL54" s="607" t="str">
        <f t="shared" si="21"/>
        <v/>
      </c>
      <c r="BM54" s="607" t="str">
        <f t="shared" si="22"/>
        <v/>
      </c>
      <c r="BN54" s="607" t="str">
        <f t="shared" si="23"/>
        <v/>
      </c>
      <c r="BO54" s="608" t="str">
        <f>IF(BM54="","",ROUNDDOWN(L54*VLOOKUP(K54,【参考】数式用!$A$4:$J$42,10,FALSE)*AA54,0))</f>
        <v/>
      </c>
      <c r="BP54" s="607" t="str">
        <f t="shared" si="24"/>
        <v/>
      </c>
      <c r="BQ54" s="607" t="str">
        <f t="shared" si="25"/>
        <v/>
      </c>
      <c r="BR54" s="609" t="str">
        <f t="shared" si="26"/>
        <v/>
      </c>
      <c r="BS54" s="609" t="str">
        <f t="shared" si="27"/>
        <v/>
      </c>
      <c r="BT54" s="607" t="str">
        <f t="shared" si="28"/>
        <v/>
      </c>
      <c r="BU54" s="608" t="str">
        <f>IF(BT54="Ⅱロ有り",ROUNDDOWN(L54*VLOOKUP(K54,【参考】数式用!$A$4:$J$42,10,FALSE)*AA54,0),"")</f>
        <v/>
      </c>
      <c r="BV54" s="607" t="str">
        <f>IF(BT54="Ⅱロなし",ROUNDDOWN(L54*VLOOKUP(K54,【参考】数式用!$A$4:$J$42,8,FALSE)*AA54,0),"")</f>
        <v/>
      </c>
    </row>
    <row r="55" spans="1:74" ht="109.9" customHeight="1" thickBot="1">
      <c r="A55" s="303">
        <v>42</v>
      </c>
      <c r="B55" s="956" t="str">
        <f>IF(基本情報入力シート!B77="","",基本情報入力シート!B77)</f>
        <v/>
      </c>
      <c r="C55" s="957"/>
      <c r="D55" s="957"/>
      <c r="E55" s="957"/>
      <c r="F55" s="958"/>
      <c r="G55" s="304" t="str">
        <f>IF(基本情報入力シート!L77="", "", 基本情報入力シート!L77)</f>
        <v/>
      </c>
      <c r="H55" s="304" t="str">
        <f>IF(基本情報入力シート!Q77="", "", 基本情報入力シート!Q77)</f>
        <v/>
      </c>
      <c r="I55" s="304" t="str">
        <f>IF(基本情報入力シート!V77="", "", 基本情報入力シート!V77)</f>
        <v/>
      </c>
      <c r="J55" s="304" t="str">
        <f>IF(基本情報入力シート!W77="", "", 基本情報入力シート!W77)</f>
        <v/>
      </c>
      <c r="K55" s="304" t="str">
        <f>IF(基本情報入力シート!Z77="", "", 基本情報入力シート!Z77)</f>
        <v/>
      </c>
      <c r="L55" s="558" t="str">
        <f>IF(基本情報入力シート!AF77=0, "",基本情報入力シート!AF77)</f>
        <v/>
      </c>
      <c r="M55" s="524" t="str">
        <f>IF('別紙様式2-2（個票（４、５月））'!M55="","",'別紙様式2-2（個票（４、５月））'!M55)</f>
        <v/>
      </c>
      <c r="N55" s="523" t="str">
        <f>IF('別紙様式2-2（個票（４、５月））'!N55="","",'別紙様式2-2（個票（４、５月））'!N55)</f>
        <v/>
      </c>
      <c r="O55" s="286"/>
      <c r="P55" s="555" t="str">
        <f>IFERROR(VLOOKUP(K55,【参考】数式用!$A$2:$M$57,MATCH(O55,【参考】数式用!$G$3:$M$3,0)+6,0),"")</f>
        <v/>
      </c>
      <c r="Q55" s="310" t="s">
        <v>118</v>
      </c>
      <c r="R55" s="308"/>
      <c r="S55" s="309" t="s">
        <v>183</v>
      </c>
      <c r="T55" s="308"/>
      <c r="U55" s="309" t="s">
        <v>184</v>
      </c>
      <c r="V55" s="308"/>
      <c r="W55" s="309" t="s">
        <v>183</v>
      </c>
      <c r="X55" s="308"/>
      <c r="Y55" s="309" t="s">
        <v>185</v>
      </c>
      <c r="Z55" s="309" t="s">
        <v>186</v>
      </c>
      <c r="AA55" s="309" t="str">
        <f t="shared" si="29"/>
        <v/>
      </c>
      <c r="AB55" s="305" t="s">
        <v>187</v>
      </c>
      <c r="AC55" s="306" t="str">
        <f t="shared" si="10"/>
        <v/>
      </c>
      <c r="AD55" s="515" t="str">
        <f t="shared" si="11"/>
        <v/>
      </c>
      <c r="AE55" s="307" t="str">
        <f>IFERROR(ROUNDDOWN(ROUNDDOWN(ROUND(L55*VLOOKUP(K55,【参考】数式用!$A$2:$M$57,MATCH("処遇改善加算Ⅳ",【参考】数式用!$G$3:$M$3,0)+6,0),0),0)*AA55*0.5,0), "")</f>
        <v/>
      </c>
      <c r="AF55" s="318"/>
      <c r="AG55" s="319"/>
      <c r="AH55" s="319"/>
      <c r="AI55" s="318"/>
      <c r="AJ55" s="320"/>
      <c r="AK55" s="326"/>
      <c r="AL55" s="324" t="str">
        <f t="shared" si="31"/>
        <v/>
      </c>
      <c r="AM55" s="325" t="str">
        <f t="shared" si="12"/>
        <v/>
      </c>
      <c r="AN55" s="255"/>
      <c r="AO55" s="557" t="str">
        <f>IFERROR(VLOOKUP(K55,【参考】数式用!$A$2:$N$57,14,FALSE),"")</f>
        <v/>
      </c>
      <c r="AP55" s="557" t="str">
        <f t="shared" si="13"/>
        <v/>
      </c>
      <c r="AQ55" s="561" t="str">
        <f t="shared" si="32"/>
        <v/>
      </c>
      <c r="AR55" s="561" t="str">
        <f t="shared" si="30"/>
        <v>キャリアパス要件Ⅰ・Ⅱ_</v>
      </c>
      <c r="AS55" s="540" t="str">
        <f t="shared" si="33"/>
        <v>入力済</v>
      </c>
      <c r="AT55" s="557" t="str">
        <f t="shared" si="14"/>
        <v/>
      </c>
      <c r="AU55" s="540" t="str">
        <f t="shared" si="34"/>
        <v>入力済</v>
      </c>
      <c r="AV55" s="540" t="str">
        <f t="shared" si="35"/>
        <v/>
      </c>
      <c r="AW55" s="576" t="str">
        <f t="shared" si="15"/>
        <v/>
      </c>
      <c r="AX55" s="557" t="str">
        <f t="shared" si="36"/>
        <v/>
      </c>
      <c r="AY55" s="540" t="str">
        <f>IFERROR(VLOOKUP(K55,【参考】数式用!$AR$3:$AS$49, 2, FALSE), "")</f>
        <v/>
      </c>
      <c r="AZ55" s="557" t="str">
        <f t="shared" si="16"/>
        <v/>
      </c>
      <c r="BA55" s="560" t="str">
        <f t="shared" si="37"/>
        <v>入力済</v>
      </c>
      <c r="BB55" s="540" t="str">
        <f>IFERROR(VLOOKUP(K55,【参考】数式用!$AX$3:$AY$59, 2, FALSE), "")</f>
        <v/>
      </c>
      <c r="BC55" s="557" t="str">
        <f t="shared" si="17"/>
        <v/>
      </c>
      <c r="BD55" s="560" t="str">
        <f t="shared" si="38"/>
        <v>入力済</v>
      </c>
      <c r="BE55" s="560" t="str">
        <f t="shared" si="18"/>
        <v/>
      </c>
      <c r="BF55" s="560" t="str">
        <f t="shared" si="19"/>
        <v/>
      </c>
      <c r="BG55" s="560" t="str">
        <f t="shared" si="20"/>
        <v/>
      </c>
      <c r="BH55" s="560" t="str">
        <f t="shared" si="39"/>
        <v/>
      </c>
      <c r="BI55" s="560" t="str">
        <f t="shared" si="40"/>
        <v/>
      </c>
      <c r="BK55" s="27"/>
      <c r="BL55" s="607" t="str">
        <f t="shared" si="21"/>
        <v/>
      </c>
      <c r="BM55" s="607" t="str">
        <f t="shared" si="22"/>
        <v/>
      </c>
      <c r="BN55" s="607" t="str">
        <f t="shared" si="23"/>
        <v/>
      </c>
      <c r="BO55" s="608" t="str">
        <f>IF(BM55="","",ROUNDDOWN(L55*VLOOKUP(K55,【参考】数式用!$A$4:$J$42,10,FALSE)*AA55,0))</f>
        <v/>
      </c>
      <c r="BP55" s="607" t="str">
        <f t="shared" si="24"/>
        <v/>
      </c>
      <c r="BQ55" s="607" t="str">
        <f t="shared" si="25"/>
        <v/>
      </c>
      <c r="BR55" s="609" t="str">
        <f t="shared" si="26"/>
        <v/>
      </c>
      <c r="BS55" s="609" t="str">
        <f t="shared" si="27"/>
        <v/>
      </c>
      <c r="BT55" s="607" t="str">
        <f t="shared" si="28"/>
        <v/>
      </c>
      <c r="BU55" s="608" t="str">
        <f>IF(BT55="Ⅱロ有り",ROUNDDOWN(L55*VLOOKUP(K55,【参考】数式用!$A$4:$J$42,10,FALSE)*AA55,0),"")</f>
        <v/>
      </c>
      <c r="BV55" s="607" t="str">
        <f>IF(BT55="Ⅱロなし",ROUNDDOWN(L55*VLOOKUP(K55,【参考】数式用!$A$4:$J$42,8,FALSE)*AA55,0),"")</f>
        <v/>
      </c>
    </row>
    <row r="56" spans="1:74" ht="109.9" customHeight="1" thickBot="1">
      <c r="A56" s="303">
        <v>43</v>
      </c>
      <c r="B56" s="956" t="str">
        <f>IF(基本情報入力シート!B78="","",基本情報入力シート!B78)</f>
        <v/>
      </c>
      <c r="C56" s="957"/>
      <c r="D56" s="957"/>
      <c r="E56" s="957"/>
      <c r="F56" s="958"/>
      <c r="G56" s="304" t="str">
        <f>IF(基本情報入力シート!L78="", "", 基本情報入力シート!L78)</f>
        <v/>
      </c>
      <c r="H56" s="304" t="str">
        <f>IF(基本情報入力シート!Q78="", "", 基本情報入力シート!Q78)</f>
        <v/>
      </c>
      <c r="I56" s="304" t="str">
        <f>IF(基本情報入力シート!V78="", "", 基本情報入力シート!V78)</f>
        <v/>
      </c>
      <c r="J56" s="304" t="str">
        <f>IF(基本情報入力シート!W78="", "", 基本情報入力シート!W78)</f>
        <v/>
      </c>
      <c r="K56" s="304" t="str">
        <f>IF(基本情報入力シート!Z78="", "", 基本情報入力シート!Z78)</f>
        <v/>
      </c>
      <c r="L56" s="558" t="str">
        <f>IF(基本情報入力シート!AF78=0, "",基本情報入力シート!AF78)</f>
        <v/>
      </c>
      <c r="M56" s="524" t="str">
        <f>IF('別紙様式2-2（個票（４、５月））'!M56="","",'別紙様式2-2（個票（４、５月））'!M56)</f>
        <v/>
      </c>
      <c r="N56" s="523" t="str">
        <f>IF('別紙様式2-2（個票（４、５月））'!N56="","",'別紙様式2-2（個票（４、５月））'!N56)</f>
        <v/>
      </c>
      <c r="O56" s="286"/>
      <c r="P56" s="555" t="str">
        <f>IFERROR(VLOOKUP(K56,【参考】数式用!$A$2:$M$57,MATCH(O56,【参考】数式用!$G$3:$M$3,0)+6,0),"")</f>
        <v/>
      </c>
      <c r="Q56" s="310" t="s">
        <v>118</v>
      </c>
      <c r="R56" s="308"/>
      <c r="S56" s="309" t="s">
        <v>183</v>
      </c>
      <c r="T56" s="308"/>
      <c r="U56" s="309" t="s">
        <v>184</v>
      </c>
      <c r="V56" s="308"/>
      <c r="W56" s="309" t="s">
        <v>183</v>
      </c>
      <c r="X56" s="308"/>
      <c r="Y56" s="309" t="s">
        <v>185</v>
      </c>
      <c r="Z56" s="309" t="s">
        <v>186</v>
      </c>
      <c r="AA56" s="309" t="str">
        <f t="shared" si="29"/>
        <v/>
      </c>
      <c r="AB56" s="305" t="s">
        <v>187</v>
      </c>
      <c r="AC56" s="306" t="str">
        <f t="shared" si="10"/>
        <v/>
      </c>
      <c r="AD56" s="515" t="str">
        <f t="shared" si="11"/>
        <v/>
      </c>
      <c r="AE56" s="307" t="str">
        <f>IFERROR(ROUNDDOWN(ROUNDDOWN(ROUND(L56*VLOOKUP(K56,【参考】数式用!$A$2:$M$57,MATCH("処遇改善加算Ⅳ",【参考】数式用!$G$3:$M$3,0)+6,0),0),0)*AA56*0.5,0), "")</f>
        <v/>
      </c>
      <c r="AF56" s="318"/>
      <c r="AG56" s="319"/>
      <c r="AH56" s="319"/>
      <c r="AI56" s="318"/>
      <c r="AJ56" s="320"/>
      <c r="AK56" s="326"/>
      <c r="AL56" s="324" t="str">
        <f t="shared" si="31"/>
        <v/>
      </c>
      <c r="AM56" s="325" t="str">
        <f t="shared" si="12"/>
        <v/>
      </c>
      <c r="AN56" s="255"/>
      <c r="AO56" s="557" t="str">
        <f>IFERROR(VLOOKUP(K56,【参考】数式用!$A$2:$N$57,14,FALSE),"")</f>
        <v/>
      </c>
      <c r="AP56" s="557" t="str">
        <f t="shared" si="13"/>
        <v/>
      </c>
      <c r="AQ56" s="561" t="str">
        <f t="shared" si="32"/>
        <v/>
      </c>
      <c r="AR56" s="561" t="str">
        <f t="shared" si="30"/>
        <v>キャリアパス要件Ⅰ・Ⅱ_</v>
      </c>
      <c r="AS56" s="540" t="str">
        <f t="shared" si="33"/>
        <v>入力済</v>
      </c>
      <c r="AT56" s="557" t="str">
        <f t="shared" si="14"/>
        <v/>
      </c>
      <c r="AU56" s="540" t="str">
        <f t="shared" si="34"/>
        <v>入力済</v>
      </c>
      <c r="AV56" s="540" t="str">
        <f t="shared" si="35"/>
        <v/>
      </c>
      <c r="AW56" s="576" t="str">
        <f t="shared" si="15"/>
        <v/>
      </c>
      <c r="AX56" s="557" t="str">
        <f t="shared" si="36"/>
        <v/>
      </c>
      <c r="AY56" s="540" t="str">
        <f>IFERROR(VLOOKUP(K56,【参考】数式用!$AR$3:$AS$49, 2, FALSE), "")</f>
        <v/>
      </c>
      <c r="AZ56" s="557" t="str">
        <f t="shared" si="16"/>
        <v/>
      </c>
      <c r="BA56" s="560" t="str">
        <f t="shared" si="37"/>
        <v>入力済</v>
      </c>
      <c r="BB56" s="540" t="str">
        <f>IFERROR(VLOOKUP(K56,【参考】数式用!$AX$3:$AY$59, 2, FALSE), "")</f>
        <v/>
      </c>
      <c r="BC56" s="557" t="str">
        <f t="shared" si="17"/>
        <v/>
      </c>
      <c r="BD56" s="560" t="str">
        <f t="shared" si="38"/>
        <v>入力済</v>
      </c>
      <c r="BE56" s="560" t="str">
        <f t="shared" si="18"/>
        <v/>
      </c>
      <c r="BF56" s="560" t="str">
        <f t="shared" si="19"/>
        <v/>
      </c>
      <c r="BG56" s="560" t="str">
        <f t="shared" si="20"/>
        <v/>
      </c>
      <c r="BH56" s="560" t="str">
        <f t="shared" si="39"/>
        <v/>
      </c>
      <c r="BI56" s="560" t="str">
        <f t="shared" si="40"/>
        <v/>
      </c>
      <c r="BK56" s="27"/>
      <c r="BL56" s="607" t="str">
        <f t="shared" si="21"/>
        <v/>
      </c>
      <c r="BM56" s="607" t="str">
        <f t="shared" si="22"/>
        <v/>
      </c>
      <c r="BN56" s="607" t="str">
        <f t="shared" si="23"/>
        <v/>
      </c>
      <c r="BO56" s="608" t="str">
        <f>IF(BM56="","",ROUNDDOWN(L56*VLOOKUP(K56,【参考】数式用!$A$4:$J$42,10,FALSE)*AA56,0))</f>
        <v/>
      </c>
      <c r="BP56" s="607" t="str">
        <f t="shared" si="24"/>
        <v/>
      </c>
      <c r="BQ56" s="607" t="str">
        <f t="shared" si="25"/>
        <v/>
      </c>
      <c r="BR56" s="609" t="str">
        <f t="shared" si="26"/>
        <v/>
      </c>
      <c r="BS56" s="609" t="str">
        <f t="shared" si="27"/>
        <v/>
      </c>
      <c r="BT56" s="607" t="str">
        <f t="shared" si="28"/>
        <v/>
      </c>
      <c r="BU56" s="608" t="str">
        <f>IF(BT56="Ⅱロ有り",ROUNDDOWN(L56*VLOOKUP(K56,【参考】数式用!$A$4:$J$42,10,FALSE)*AA56,0),"")</f>
        <v/>
      </c>
      <c r="BV56" s="607" t="str">
        <f>IF(BT56="Ⅱロなし",ROUNDDOWN(L56*VLOOKUP(K56,【参考】数式用!$A$4:$J$42,8,FALSE)*AA56,0),"")</f>
        <v/>
      </c>
    </row>
    <row r="57" spans="1:74" ht="109.9" customHeight="1" thickBot="1">
      <c r="A57" s="303">
        <v>44</v>
      </c>
      <c r="B57" s="956" t="str">
        <f>IF(基本情報入力シート!B79="","",基本情報入力シート!B79)</f>
        <v/>
      </c>
      <c r="C57" s="957"/>
      <c r="D57" s="957"/>
      <c r="E57" s="957"/>
      <c r="F57" s="958"/>
      <c r="G57" s="304" t="str">
        <f>IF(基本情報入力シート!L79="", "", 基本情報入力シート!L79)</f>
        <v/>
      </c>
      <c r="H57" s="304" t="str">
        <f>IF(基本情報入力シート!Q79="", "", 基本情報入力シート!Q79)</f>
        <v/>
      </c>
      <c r="I57" s="304" t="str">
        <f>IF(基本情報入力シート!V79="", "", 基本情報入力シート!V79)</f>
        <v/>
      </c>
      <c r="J57" s="304" t="str">
        <f>IF(基本情報入力シート!W79="", "", 基本情報入力シート!W79)</f>
        <v/>
      </c>
      <c r="K57" s="304" t="str">
        <f>IF(基本情報入力シート!Z79="", "", 基本情報入力シート!Z79)</f>
        <v/>
      </c>
      <c r="L57" s="558" t="str">
        <f>IF(基本情報入力シート!AF79=0, "",基本情報入力シート!AF79)</f>
        <v/>
      </c>
      <c r="M57" s="524" t="str">
        <f>IF('別紙様式2-2（個票（４、５月））'!M57="","",'別紙様式2-2（個票（４、５月））'!M57)</f>
        <v/>
      </c>
      <c r="N57" s="523" t="str">
        <f>IF('別紙様式2-2（個票（４、５月））'!N57="","",'別紙様式2-2（個票（４、５月））'!N57)</f>
        <v/>
      </c>
      <c r="O57" s="286"/>
      <c r="P57" s="555" t="str">
        <f>IFERROR(VLOOKUP(K57,【参考】数式用!$A$2:$M$57,MATCH(O57,【参考】数式用!$G$3:$M$3,0)+6,0),"")</f>
        <v/>
      </c>
      <c r="Q57" s="310" t="s">
        <v>118</v>
      </c>
      <c r="R57" s="308"/>
      <c r="S57" s="309" t="s">
        <v>183</v>
      </c>
      <c r="T57" s="308"/>
      <c r="U57" s="309" t="s">
        <v>184</v>
      </c>
      <c r="V57" s="308"/>
      <c r="W57" s="309" t="s">
        <v>183</v>
      </c>
      <c r="X57" s="308"/>
      <c r="Y57" s="309" t="s">
        <v>185</v>
      </c>
      <c r="Z57" s="309" t="s">
        <v>186</v>
      </c>
      <c r="AA57" s="309" t="str">
        <f t="shared" si="29"/>
        <v/>
      </c>
      <c r="AB57" s="305" t="s">
        <v>187</v>
      </c>
      <c r="AC57" s="306" t="str">
        <f t="shared" si="10"/>
        <v/>
      </c>
      <c r="AD57" s="515" t="str">
        <f t="shared" si="11"/>
        <v/>
      </c>
      <c r="AE57" s="307" t="str">
        <f>IFERROR(ROUNDDOWN(ROUNDDOWN(ROUND(L57*VLOOKUP(K57,【参考】数式用!$A$2:$M$57,MATCH("処遇改善加算Ⅳ",【参考】数式用!$G$3:$M$3,0)+6,0),0),0)*AA57*0.5,0), "")</f>
        <v/>
      </c>
      <c r="AF57" s="318"/>
      <c r="AG57" s="319"/>
      <c r="AH57" s="319"/>
      <c r="AI57" s="318"/>
      <c r="AJ57" s="320"/>
      <c r="AK57" s="326"/>
      <c r="AL57" s="324" t="str">
        <f t="shared" si="31"/>
        <v/>
      </c>
      <c r="AM57" s="325" t="str">
        <f t="shared" si="12"/>
        <v/>
      </c>
      <c r="AN57" s="255"/>
      <c r="AO57" s="557" t="str">
        <f>IFERROR(VLOOKUP(K57,【参考】数式用!$A$2:$N$57,14,FALSE),"")</f>
        <v/>
      </c>
      <c r="AP57" s="557" t="str">
        <f t="shared" si="13"/>
        <v/>
      </c>
      <c r="AQ57" s="561" t="str">
        <f t="shared" si="32"/>
        <v/>
      </c>
      <c r="AR57" s="561" t="str">
        <f t="shared" si="30"/>
        <v>キャリアパス要件Ⅰ・Ⅱ_</v>
      </c>
      <c r="AS57" s="540" t="str">
        <f t="shared" si="33"/>
        <v>入力済</v>
      </c>
      <c r="AT57" s="557" t="str">
        <f t="shared" si="14"/>
        <v/>
      </c>
      <c r="AU57" s="540" t="str">
        <f t="shared" si="34"/>
        <v>入力済</v>
      </c>
      <c r="AV57" s="540" t="str">
        <f t="shared" si="35"/>
        <v/>
      </c>
      <c r="AW57" s="576" t="str">
        <f t="shared" si="15"/>
        <v/>
      </c>
      <c r="AX57" s="557" t="str">
        <f t="shared" si="36"/>
        <v/>
      </c>
      <c r="AY57" s="540" t="str">
        <f>IFERROR(VLOOKUP(K57,【参考】数式用!$AR$3:$AS$49, 2, FALSE), "")</f>
        <v/>
      </c>
      <c r="AZ57" s="557" t="str">
        <f t="shared" si="16"/>
        <v/>
      </c>
      <c r="BA57" s="560" t="str">
        <f t="shared" si="37"/>
        <v>入力済</v>
      </c>
      <c r="BB57" s="540" t="str">
        <f>IFERROR(VLOOKUP(K57,【参考】数式用!$AX$3:$AY$59, 2, FALSE), "")</f>
        <v/>
      </c>
      <c r="BC57" s="557" t="str">
        <f t="shared" si="17"/>
        <v/>
      </c>
      <c r="BD57" s="560" t="str">
        <f t="shared" si="38"/>
        <v>入力済</v>
      </c>
      <c r="BE57" s="560" t="str">
        <f t="shared" si="18"/>
        <v/>
      </c>
      <c r="BF57" s="560" t="str">
        <f t="shared" si="19"/>
        <v/>
      </c>
      <c r="BG57" s="560" t="str">
        <f t="shared" si="20"/>
        <v/>
      </c>
      <c r="BH57" s="560" t="str">
        <f t="shared" si="39"/>
        <v/>
      </c>
      <c r="BI57" s="560" t="str">
        <f t="shared" si="40"/>
        <v/>
      </c>
      <c r="BK57" s="27"/>
      <c r="BL57" s="607" t="str">
        <f t="shared" si="21"/>
        <v/>
      </c>
      <c r="BM57" s="607" t="str">
        <f t="shared" si="22"/>
        <v/>
      </c>
      <c r="BN57" s="607" t="str">
        <f t="shared" si="23"/>
        <v/>
      </c>
      <c r="BO57" s="608" t="str">
        <f>IF(BM57="","",ROUNDDOWN(L57*VLOOKUP(K57,【参考】数式用!$A$4:$J$42,10,FALSE)*AA57,0))</f>
        <v/>
      </c>
      <c r="BP57" s="607" t="str">
        <f t="shared" si="24"/>
        <v/>
      </c>
      <c r="BQ57" s="607" t="str">
        <f t="shared" si="25"/>
        <v/>
      </c>
      <c r="BR57" s="609" t="str">
        <f t="shared" si="26"/>
        <v/>
      </c>
      <c r="BS57" s="609" t="str">
        <f t="shared" si="27"/>
        <v/>
      </c>
      <c r="BT57" s="607" t="str">
        <f t="shared" si="28"/>
        <v/>
      </c>
      <c r="BU57" s="608" t="str">
        <f>IF(BT57="Ⅱロ有り",ROUNDDOWN(L57*VLOOKUP(K57,【参考】数式用!$A$4:$J$42,10,FALSE)*AA57,0),"")</f>
        <v/>
      </c>
      <c r="BV57" s="607" t="str">
        <f>IF(BT57="Ⅱロなし",ROUNDDOWN(L57*VLOOKUP(K57,【参考】数式用!$A$4:$J$42,8,FALSE)*AA57,0),"")</f>
        <v/>
      </c>
    </row>
    <row r="58" spans="1:74" ht="109.9" customHeight="1" thickBot="1">
      <c r="A58" s="303">
        <v>45</v>
      </c>
      <c r="B58" s="956" t="str">
        <f>IF(基本情報入力シート!B80="","",基本情報入力シート!B80)</f>
        <v/>
      </c>
      <c r="C58" s="957"/>
      <c r="D58" s="957"/>
      <c r="E58" s="957"/>
      <c r="F58" s="958"/>
      <c r="G58" s="304" t="str">
        <f>IF(基本情報入力シート!L80="", "", 基本情報入力シート!L80)</f>
        <v/>
      </c>
      <c r="H58" s="304" t="str">
        <f>IF(基本情報入力シート!Q80="", "", 基本情報入力シート!Q80)</f>
        <v/>
      </c>
      <c r="I58" s="304" t="str">
        <f>IF(基本情報入力シート!V80="", "", 基本情報入力シート!V80)</f>
        <v/>
      </c>
      <c r="J58" s="304" t="str">
        <f>IF(基本情報入力シート!W80="", "", 基本情報入力シート!W80)</f>
        <v/>
      </c>
      <c r="K58" s="304" t="str">
        <f>IF(基本情報入力シート!Z80="", "", 基本情報入力シート!Z80)</f>
        <v/>
      </c>
      <c r="L58" s="558" t="str">
        <f>IF(基本情報入力シート!AF80=0, "",基本情報入力シート!AF80)</f>
        <v/>
      </c>
      <c r="M58" s="524" t="str">
        <f>IF('別紙様式2-2（個票（４、５月））'!M58="","",'別紙様式2-2（個票（４、５月））'!M58)</f>
        <v/>
      </c>
      <c r="N58" s="523" t="str">
        <f>IF('別紙様式2-2（個票（４、５月））'!N58="","",'別紙様式2-2（個票（４、５月））'!N58)</f>
        <v/>
      </c>
      <c r="O58" s="286"/>
      <c r="P58" s="555" t="str">
        <f>IFERROR(VLOOKUP(K58,【参考】数式用!$A$2:$M$57,MATCH(O58,【参考】数式用!$G$3:$M$3,0)+6,0),"")</f>
        <v/>
      </c>
      <c r="Q58" s="310" t="s">
        <v>118</v>
      </c>
      <c r="R58" s="308"/>
      <c r="S58" s="309" t="s">
        <v>183</v>
      </c>
      <c r="T58" s="308"/>
      <c r="U58" s="309" t="s">
        <v>184</v>
      </c>
      <c r="V58" s="308"/>
      <c r="W58" s="309" t="s">
        <v>183</v>
      </c>
      <c r="X58" s="308"/>
      <c r="Y58" s="309" t="s">
        <v>120</v>
      </c>
      <c r="Z58" s="309" t="s">
        <v>186</v>
      </c>
      <c r="AA58" s="309" t="str">
        <f t="shared" si="29"/>
        <v/>
      </c>
      <c r="AB58" s="305" t="s">
        <v>187</v>
      </c>
      <c r="AC58" s="306" t="str">
        <f t="shared" si="10"/>
        <v/>
      </c>
      <c r="AD58" s="515" t="str">
        <f t="shared" si="11"/>
        <v/>
      </c>
      <c r="AE58" s="307" t="str">
        <f>IFERROR(ROUNDDOWN(ROUNDDOWN(ROUND(L58*VLOOKUP(K58,【参考】数式用!$A$2:$M$57,MATCH("処遇改善加算Ⅳ",【参考】数式用!$G$3:$M$3,0)+6,0),0),0)*AA58*0.5,0), "")</f>
        <v/>
      </c>
      <c r="AF58" s="318"/>
      <c r="AG58" s="319"/>
      <c r="AH58" s="319"/>
      <c r="AI58" s="318"/>
      <c r="AJ58" s="320"/>
      <c r="AK58" s="326"/>
      <c r="AL58" s="324" t="str">
        <f t="shared" si="31"/>
        <v/>
      </c>
      <c r="AM58" s="325" t="str">
        <f t="shared" si="12"/>
        <v/>
      </c>
      <c r="AN58" s="255"/>
      <c r="AO58" s="557" t="str">
        <f>IFERROR(VLOOKUP(K58,【参考】数式用!$A$2:$N$57,14,FALSE),"")</f>
        <v/>
      </c>
      <c r="AP58" s="557" t="str">
        <f t="shared" si="13"/>
        <v/>
      </c>
      <c r="AQ58" s="561" t="str">
        <f t="shared" si="32"/>
        <v/>
      </c>
      <c r="AR58" s="561" t="str">
        <f t="shared" si="30"/>
        <v>キャリアパス要件Ⅰ・Ⅱ_</v>
      </c>
      <c r="AS58" s="540" t="str">
        <f t="shared" si="33"/>
        <v>入力済</v>
      </c>
      <c r="AT58" s="557" t="str">
        <f t="shared" si="14"/>
        <v/>
      </c>
      <c r="AU58" s="540" t="str">
        <f t="shared" si="34"/>
        <v>入力済</v>
      </c>
      <c r="AV58" s="540" t="str">
        <f t="shared" si="35"/>
        <v/>
      </c>
      <c r="AW58" s="576" t="str">
        <f t="shared" si="15"/>
        <v/>
      </c>
      <c r="AX58" s="557" t="str">
        <f t="shared" si="36"/>
        <v/>
      </c>
      <c r="AY58" s="540" t="str">
        <f>IFERROR(VLOOKUP(K58,【参考】数式用!$AR$3:$AS$49, 2, FALSE), "")</f>
        <v/>
      </c>
      <c r="AZ58" s="557" t="str">
        <f t="shared" si="16"/>
        <v/>
      </c>
      <c r="BA58" s="560" t="str">
        <f t="shared" si="37"/>
        <v>入力済</v>
      </c>
      <c r="BB58" s="540" t="str">
        <f>IFERROR(VLOOKUP(K58,【参考】数式用!$AX$3:$AY$59, 2, FALSE), "")</f>
        <v/>
      </c>
      <c r="BC58" s="557" t="str">
        <f t="shared" si="17"/>
        <v/>
      </c>
      <c r="BD58" s="560" t="str">
        <f t="shared" si="38"/>
        <v>入力済</v>
      </c>
      <c r="BE58" s="560" t="str">
        <f t="shared" si="18"/>
        <v/>
      </c>
      <c r="BF58" s="560" t="str">
        <f t="shared" si="19"/>
        <v/>
      </c>
      <c r="BG58" s="560" t="str">
        <f t="shared" si="20"/>
        <v/>
      </c>
      <c r="BH58" s="560" t="str">
        <f t="shared" si="39"/>
        <v/>
      </c>
      <c r="BI58" s="560" t="str">
        <f t="shared" si="40"/>
        <v/>
      </c>
      <c r="BK58" s="27"/>
      <c r="BL58" s="607" t="str">
        <f t="shared" si="21"/>
        <v/>
      </c>
      <c r="BM58" s="607" t="str">
        <f t="shared" si="22"/>
        <v/>
      </c>
      <c r="BN58" s="607" t="str">
        <f t="shared" si="23"/>
        <v/>
      </c>
      <c r="BO58" s="608" t="str">
        <f>IF(BM58="","",ROUNDDOWN(L58*VLOOKUP(K58,【参考】数式用!$A$4:$J$42,10,FALSE)*AA58,0))</f>
        <v/>
      </c>
      <c r="BP58" s="607" t="str">
        <f t="shared" si="24"/>
        <v/>
      </c>
      <c r="BQ58" s="607" t="str">
        <f t="shared" si="25"/>
        <v/>
      </c>
      <c r="BR58" s="609" t="str">
        <f t="shared" si="26"/>
        <v/>
      </c>
      <c r="BS58" s="609" t="str">
        <f t="shared" si="27"/>
        <v/>
      </c>
      <c r="BT58" s="607" t="str">
        <f t="shared" si="28"/>
        <v/>
      </c>
      <c r="BU58" s="608" t="str">
        <f>IF(BT58="Ⅱロ有り",ROUNDDOWN(L58*VLOOKUP(K58,【参考】数式用!$A$4:$J$42,10,FALSE)*AA58,0),"")</f>
        <v/>
      </c>
      <c r="BV58" s="607" t="str">
        <f>IF(BT58="Ⅱロなし",ROUNDDOWN(L58*VLOOKUP(K58,【参考】数式用!$A$4:$J$42,8,FALSE)*AA58,0),"")</f>
        <v/>
      </c>
    </row>
    <row r="59" spans="1:74" ht="109.9" customHeight="1" thickBot="1">
      <c r="A59" s="303">
        <v>46</v>
      </c>
      <c r="B59" s="956" t="str">
        <f>IF(基本情報入力シート!B81="","",基本情報入力シート!B81)</f>
        <v/>
      </c>
      <c r="C59" s="957"/>
      <c r="D59" s="957"/>
      <c r="E59" s="957"/>
      <c r="F59" s="958"/>
      <c r="G59" s="304" t="str">
        <f>IF(基本情報入力シート!L81="", "", 基本情報入力シート!L81)</f>
        <v/>
      </c>
      <c r="H59" s="304" t="str">
        <f>IF(基本情報入力シート!Q81="", "", 基本情報入力シート!Q81)</f>
        <v/>
      </c>
      <c r="I59" s="304" t="str">
        <f>IF(基本情報入力シート!V81="", "", 基本情報入力シート!V81)</f>
        <v/>
      </c>
      <c r="J59" s="304" t="str">
        <f>IF(基本情報入力シート!W81="", "", 基本情報入力シート!W81)</f>
        <v/>
      </c>
      <c r="K59" s="304" t="str">
        <f>IF(基本情報入力シート!Z81="", "", 基本情報入力シート!Z81)</f>
        <v/>
      </c>
      <c r="L59" s="558" t="str">
        <f>IF(基本情報入力シート!AF81=0, "",基本情報入力シート!AF81)</f>
        <v/>
      </c>
      <c r="M59" s="524" t="str">
        <f>IF('別紙様式2-2（個票（４、５月））'!M59="","",'別紙様式2-2（個票（４、５月））'!M59)</f>
        <v/>
      </c>
      <c r="N59" s="523" t="str">
        <f>IF('別紙様式2-2（個票（４、５月））'!N59="","",'別紙様式2-2（個票（４、５月））'!N59)</f>
        <v/>
      </c>
      <c r="O59" s="286"/>
      <c r="P59" s="555" t="str">
        <f>IFERROR(VLOOKUP(K59,【参考】数式用!$A$2:$M$57,MATCH(O59,【参考】数式用!$G$3:$M$3,0)+6,0),"")</f>
        <v/>
      </c>
      <c r="Q59" s="310" t="s">
        <v>118</v>
      </c>
      <c r="R59" s="308"/>
      <c r="S59" s="309" t="s">
        <v>183</v>
      </c>
      <c r="T59" s="308"/>
      <c r="U59" s="309" t="s">
        <v>184</v>
      </c>
      <c r="V59" s="308"/>
      <c r="W59" s="309" t="s">
        <v>183</v>
      </c>
      <c r="X59" s="308"/>
      <c r="Y59" s="309" t="s">
        <v>185</v>
      </c>
      <c r="Z59" s="309" t="s">
        <v>186</v>
      </c>
      <c r="AA59" s="309" t="str">
        <f t="shared" si="29"/>
        <v/>
      </c>
      <c r="AB59" s="305" t="s">
        <v>187</v>
      </c>
      <c r="AC59" s="306" t="str">
        <f t="shared" si="10"/>
        <v/>
      </c>
      <c r="AD59" s="515" t="str">
        <f t="shared" si="11"/>
        <v/>
      </c>
      <c r="AE59" s="307" t="str">
        <f>IFERROR(ROUNDDOWN(ROUNDDOWN(ROUND(L59*VLOOKUP(K59,【参考】数式用!$A$2:$M$57,MATCH("処遇改善加算Ⅳ",【参考】数式用!$G$3:$M$3,0)+6,0),0),0)*AA59*0.5,0), "")</f>
        <v/>
      </c>
      <c r="AF59" s="318"/>
      <c r="AG59" s="319"/>
      <c r="AH59" s="319"/>
      <c r="AI59" s="318"/>
      <c r="AJ59" s="320"/>
      <c r="AK59" s="326"/>
      <c r="AL59" s="324" t="str">
        <f t="shared" si="31"/>
        <v/>
      </c>
      <c r="AM59" s="325" t="str">
        <f t="shared" si="12"/>
        <v/>
      </c>
      <c r="AN59" s="255"/>
      <c r="AO59" s="557" t="str">
        <f>IFERROR(VLOOKUP(K59,【参考】数式用!$A$2:$N$57,14,FALSE),"")</f>
        <v/>
      </c>
      <c r="AP59" s="557" t="str">
        <f t="shared" si="13"/>
        <v/>
      </c>
      <c r="AQ59" s="561" t="str">
        <f t="shared" si="32"/>
        <v/>
      </c>
      <c r="AR59" s="561" t="str">
        <f t="shared" si="30"/>
        <v>キャリアパス要件Ⅰ・Ⅱ_</v>
      </c>
      <c r="AS59" s="540" t="str">
        <f t="shared" si="33"/>
        <v>入力済</v>
      </c>
      <c r="AT59" s="557" t="str">
        <f t="shared" si="14"/>
        <v/>
      </c>
      <c r="AU59" s="540" t="str">
        <f t="shared" si="34"/>
        <v>入力済</v>
      </c>
      <c r="AV59" s="540" t="str">
        <f t="shared" si="35"/>
        <v/>
      </c>
      <c r="AW59" s="576" t="str">
        <f t="shared" si="15"/>
        <v/>
      </c>
      <c r="AX59" s="557" t="str">
        <f t="shared" si="36"/>
        <v/>
      </c>
      <c r="AY59" s="540" t="str">
        <f>IFERROR(VLOOKUP(K59,【参考】数式用!$AR$3:$AS$49, 2, FALSE), "")</f>
        <v/>
      </c>
      <c r="AZ59" s="557" t="str">
        <f t="shared" si="16"/>
        <v/>
      </c>
      <c r="BA59" s="560" t="str">
        <f t="shared" si="37"/>
        <v>入力済</v>
      </c>
      <c r="BB59" s="540" t="str">
        <f>IFERROR(VLOOKUP(K59,【参考】数式用!$AX$3:$AY$59, 2, FALSE), "")</f>
        <v/>
      </c>
      <c r="BC59" s="557" t="str">
        <f t="shared" si="17"/>
        <v/>
      </c>
      <c r="BD59" s="560" t="str">
        <f t="shared" si="38"/>
        <v>入力済</v>
      </c>
      <c r="BE59" s="560" t="str">
        <f t="shared" si="18"/>
        <v/>
      </c>
      <c r="BF59" s="560" t="str">
        <f t="shared" si="19"/>
        <v/>
      </c>
      <c r="BG59" s="560" t="str">
        <f t="shared" si="20"/>
        <v/>
      </c>
      <c r="BH59" s="560" t="str">
        <f t="shared" si="39"/>
        <v/>
      </c>
      <c r="BI59" s="560" t="str">
        <f t="shared" si="40"/>
        <v/>
      </c>
      <c r="BK59" s="27"/>
      <c r="BL59" s="607" t="str">
        <f t="shared" si="21"/>
        <v/>
      </c>
      <c r="BM59" s="607" t="str">
        <f t="shared" si="22"/>
        <v/>
      </c>
      <c r="BN59" s="607" t="str">
        <f t="shared" si="23"/>
        <v/>
      </c>
      <c r="BO59" s="608" t="str">
        <f>IF(BM59="","",ROUNDDOWN(L59*VLOOKUP(K59,【参考】数式用!$A$4:$J$42,10,FALSE)*AA59,0))</f>
        <v/>
      </c>
      <c r="BP59" s="607" t="str">
        <f t="shared" si="24"/>
        <v/>
      </c>
      <c r="BQ59" s="607" t="str">
        <f t="shared" si="25"/>
        <v/>
      </c>
      <c r="BR59" s="609" t="str">
        <f t="shared" si="26"/>
        <v/>
      </c>
      <c r="BS59" s="609" t="str">
        <f t="shared" si="27"/>
        <v/>
      </c>
      <c r="BT59" s="607" t="str">
        <f t="shared" si="28"/>
        <v/>
      </c>
      <c r="BU59" s="608" t="str">
        <f>IF(BT59="Ⅱロ有り",ROUNDDOWN(L59*VLOOKUP(K59,【参考】数式用!$A$4:$J$42,10,FALSE)*AA59,0),"")</f>
        <v/>
      </c>
      <c r="BV59" s="607" t="str">
        <f>IF(BT59="Ⅱロなし",ROUNDDOWN(L59*VLOOKUP(K59,【参考】数式用!$A$4:$J$42,8,FALSE)*AA59,0),"")</f>
        <v/>
      </c>
    </row>
    <row r="60" spans="1:74" ht="109.9" customHeight="1" thickBot="1">
      <c r="A60" s="303">
        <v>47</v>
      </c>
      <c r="B60" s="956" t="str">
        <f>IF(基本情報入力シート!B82="","",基本情報入力シート!B82)</f>
        <v/>
      </c>
      <c r="C60" s="957"/>
      <c r="D60" s="957"/>
      <c r="E60" s="957"/>
      <c r="F60" s="958"/>
      <c r="G60" s="304" t="str">
        <f>IF(基本情報入力シート!L82="", "", 基本情報入力シート!L82)</f>
        <v/>
      </c>
      <c r="H60" s="304" t="str">
        <f>IF(基本情報入力シート!Q82="", "", 基本情報入力シート!Q82)</f>
        <v/>
      </c>
      <c r="I60" s="304" t="str">
        <f>IF(基本情報入力シート!V82="", "", 基本情報入力シート!V82)</f>
        <v/>
      </c>
      <c r="J60" s="304" t="str">
        <f>IF(基本情報入力シート!W82="", "", 基本情報入力シート!W82)</f>
        <v/>
      </c>
      <c r="K60" s="304" t="str">
        <f>IF(基本情報入力シート!Z82="", "", 基本情報入力シート!Z82)</f>
        <v/>
      </c>
      <c r="L60" s="558" t="str">
        <f>IF(基本情報入力シート!AF82=0, "",基本情報入力シート!AF82)</f>
        <v/>
      </c>
      <c r="M60" s="524" t="str">
        <f>IF('別紙様式2-2（個票（４、５月））'!M60="","",'別紙様式2-2（個票（４、５月））'!M60)</f>
        <v/>
      </c>
      <c r="N60" s="523" t="str">
        <f>IF('別紙様式2-2（個票（４、５月））'!N60="","",'別紙様式2-2（個票（４、５月））'!N60)</f>
        <v/>
      </c>
      <c r="O60" s="286"/>
      <c r="P60" s="555" t="str">
        <f>IFERROR(VLOOKUP(K60,【参考】数式用!$A$2:$M$57,MATCH(O60,【参考】数式用!$G$3:$M$3,0)+6,0),"")</f>
        <v/>
      </c>
      <c r="Q60" s="310" t="s">
        <v>118</v>
      </c>
      <c r="R60" s="308"/>
      <c r="S60" s="309" t="s">
        <v>183</v>
      </c>
      <c r="T60" s="308"/>
      <c r="U60" s="309" t="s">
        <v>184</v>
      </c>
      <c r="V60" s="308"/>
      <c r="W60" s="309" t="s">
        <v>183</v>
      </c>
      <c r="X60" s="308"/>
      <c r="Y60" s="309" t="s">
        <v>185</v>
      </c>
      <c r="Z60" s="309" t="s">
        <v>186</v>
      </c>
      <c r="AA60" s="309" t="str">
        <f t="shared" si="29"/>
        <v/>
      </c>
      <c r="AB60" s="305" t="s">
        <v>187</v>
      </c>
      <c r="AC60" s="306" t="str">
        <f t="shared" si="10"/>
        <v/>
      </c>
      <c r="AD60" s="515" t="str">
        <f t="shared" si="11"/>
        <v/>
      </c>
      <c r="AE60" s="307" t="str">
        <f>IFERROR(ROUNDDOWN(ROUNDDOWN(ROUND(L60*VLOOKUP(K60,【参考】数式用!$A$2:$M$57,MATCH("処遇改善加算Ⅳ",【参考】数式用!$G$3:$M$3,0)+6,0),0),0)*AA60*0.5,0), "")</f>
        <v/>
      </c>
      <c r="AF60" s="318"/>
      <c r="AG60" s="319"/>
      <c r="AH60" s="319"/>
      <c r="AI60" s="318"/>
      <c r="AJ60" s="320"/>
      <c r="AK60" s="326"/>
      <c r="AL60" s="324" t="str">
        <f t="shared" si="31"/>
        <v/>
      </c>
      <c r="AM60" s="325" t="str">
        <f t="shared" si="12"/>
        <v/>
      </c>
      <c r="AN60" s="255"/>
      <c r="AO60" s="557" t="str">
        <f>IFERROR(VLOOKUP(K60,【参考】数式用!$A$2:$N$57,14,FALSE),"")</f>
        <v/>
      </c>
      <c r="AP60" s="557" t="str">
        <f t="shared" si="13"/>
        <v/>
      </c>
      <c r="AQ60" s="561" t="str">
        <f t="shared" si="32"/>
        <v/>
      </c>
      <c r="AR60" s="561" t="str">
        <f t="shared" si="30"/>
        <v>キャリアパス要件Ⅰ・Ⅱ_</v>
      </c>
      <c r="AS60" s="540" t="str">
        <f t="shared" si="33"/>
        <v>入力済</v>
      </c>
      <c r="AT60" s="557" t="str">
        <f t="shared" si="14"/>
        <v/>
      </c>
      <c r="AU60" s="540" t="str">
        <f t="shared" si="34"/>
        <v>入力済</v>
      </c>
      <c r="AV60" s="540" t="str">
        <f t="shared" si="35"/>
        <v/>
      </c>
      <c r="AW60" s="576" t="str">
        <f t="shared" si="15"/>
        <v/>
      </c>
      <c r="AX60" s="557" t="str">
        <f t="shared" si="36"/>
        <v/>
      </c>
      <c r="AY60" s="540" t="str">
        <f>IFERROR(VLOOKUP(K60,【参考】数式用!$AR$3:$AS$49, 2, FALSE), "")</f>
        <v/>
      </c>
      <c r="AZ60" s="557" t="str">
        <f t="shared" si="16"/>
        <v/>
      </c>
      <c r="BA60" s="560" t="str">
        <f t="shared" si="37"/>
        <v>入力済</v>
      </c>
      <c r="BB60" s="540" t="str">
        <f>IFERROR(VLOOKUP(K60,【参考】数式用!$AX$3:$AY$59, 2, FALSE), "")</f>
        <v/>
      </c>
      <c r="BC60" s="557" t="str">
        <f t="shared" si="17"/>
        <v/>
      </c>
      <c r="BD60" s="560" t="str">
        <f t="shared" si="38"/>
        <v>入力済</v>
      </c>
      <c r="BE60" s="560" t="str">
        <f t="shared" si="18"/>
        <v/>
      </c>
      <c r="BF60" s="560" t="str">
        <f t="shared" si="19"/>
        <v/>
      </c>
      <c r="BG60" s="560" t="str">
        <f t="shared" si="20"/>
        <v/>
      </c>
      <c r="BH60" s="560" t="str">
        <f t="shared" si="39"/>
        <v/>
      </c>
      <c r="BI60" s="560" t="str">
        <f t="shared" si="40"/>
        <v/>
      </c>
      <c r="BK60" s="27"/>
      <c r="BL60" s="607" t="str">
        <f t="shared" si="21"/>
        <v/>
      </c>
      <c r="BM60" s="607" t="str">
        <f t="shared" si="22"/>
        <v/>
      </c>
      <c r="BN60" s="607" t="str">
        <f t="shared" si="23"/>
        <v/>
      </c>
      <c r="BO60" s="608" t="str">
        <f>IF(BM60="","",ROUNDDOWN(L60*VLOOKUP(K60,【参考】数式用!$A$4:$J$42,10,FALSE)*AA60,0))</f>
        <v/>
      </c>
      <c r="BP60" s="607" t="str">
        <f t="shared" si="24"/>
        <v/>
      </c>
      <c r="BQ60" s="607" t="str">
        <f t="shared" si="25"/>
        <v/>
      </c>
      <c r="BR60" s="609" t="str">
        <f t="shared" si="26"/>
        <v/>
      </c>
      <c r="BS60" s="609" t="str">
        <f t="shared" si="27"/>
        <v/>
      </c>
      <c r="BT60" s="607" t="str">
        <f t="shared" si="28"/>
        <v/>
      </c>
      <c r="BU60" s="608" t="str">
        <f>IF(BT60="Ⅱロ有り",ROUNDDOWN(L60*VLOOKUP(K60,【参考】数式用!$A$4:$J$42,10,FALSE)*AA60,0),"")</f>
        <v/>
      </c>
      <c r="BV60" s="607" t="str">
        <f>IF(BT60="Ⅱロなし",ROUNDDOWN(L60*VLOOKUP(K60,【参考】数式用!$A$4:$J$42,8,FALSE)*AA60,0),"")</f>
        <v/>
      </c>
    </row>
    <row r="61" spans="1:74" ht="109.9" customHeight="1" thickBot="1">
      <c r="A61" s="303">
        <v>48</v>
      </c>
      <c r="B61" s="956" t="str">
        <f>IF(基本情報入力シート!B83="","",基本情報入力シート!B83)</f>
        <v/>
      </c>
      <c r="C61" s="957"/>
      <c r="D61" s="957"/>
      <c r="E61" s="957"/>
      <c r="F61" s="958"/>
      <c r="G61" s="304" t="str">
        <f>IF(基本情報入力シート!L83="", "", 基本情報入力シート!L83)</f>
        <v/>
      </c>
      <c r="H61" s="304" t="str">
        <f>IF(基本情報入力シート!Q83="", "", 基本情報入力シート!Q83)</f>
        <v/>
      </c>
      <c r="I61" s="304" t="str">
        <f>IF(基本情報入力シート!V83="", "", 基本情報入力シート!V83)</f>
        <v/>
      </c>
      <c r="J61" s="304" t="str">
        <f>IF(基本情報入力シート!W83="", "", 基本情報入力シート!W83)</f>
        <v/>
      </c>
      <c r="K61" s="304" t="str">
        <f>IF(基本情報入力シート!Z83="", "", 基本情報入力シート!Z83)</f>
        <v/>
      </c>
      <c r="L61" s="558" t="str">
        <f>IF(基本情報入力シート!AF83=0, "",基本情報入力シート!AF83)</f>
        <v/>
      </c>
      <c r="M61" s="524" t="str">
        <f>IF('別紙様式2-2（個票（４、５月））'!M61="","",'別紙様式2-2（個票（４、５月））'!M61)</f>
        <v/>
      </c>
      <c r="N61" s="523" t="str">
        <f>IF('別紙様式2-2（個票（４、５月））'!N61="","",'別紙様式2-2（個票（４、５月））'!N61)</f>
        <v/>
      </c>
      <c r="O61" s="286"/>
      <c r="P61" s="555" t="str">
        <f>IFERROR(VLOOKUP(K61,【参考】数式用!$A$2:$M$57,MATCH(O61,【参考】数式用!$G$3:$M$3,0)+6,0),"")</f>
        <v/>
      </c>
      <c r="Q61" s="310" t="s">
        <v>118</v>
      </c>
      <c r="R61" s="308"/>
      <c r="S61" s="309" t="s">
        <v>183</v>
      </c>
      <c r="T61" s="308"/>
      <c r="U61" s="309" t="s">
        <v>184</v>
      </c>
      <c r="V61" s="308"/>
      <c r="W61" s="309" t="s">
        <v>183</v>
      </c>
      <c r="X61" s="308"/>
      <c r="Y61" s="309" t="s">
        <v>185</v>
      </c>
      <c r="Z61" s="309" t="s">
        <v>186</v>
      </c>
      <c r="AA61" s="309" t="str">
        <f t="shared" si="29"/>
        <v/>
      </c>
      <c r="AB61" s="305" t="s">
        <v>187</v>
      </c>
      <c r="AC61" s="306" t="str">
        <f t="shared" si="10"/>
        <v/>
      </c>
      <c r="AD61" s="515" t="str">
        <f t="shared" si="11"/>
        <v/>
      </c>
      <c r="AE61" s="307" t="str">
        <f>IFERROR(ROUNDDOWN(ROUNDDOWN(ROUND(L61*VLOOKUP(K61,【参考】数式用!$A$2:$M$57,MATCH("処遇改善加算Ⅳ",【参考】数式用!$G$3:$M$3,0)+6,0),0),0)*AA61*0.5,0), "")</f>
        <v/>
      </c>
      <c r="AF61" s="318"/>
      <c r="AG61" s="319"/>
      <c r="AH61" s="319"/>
      <c r="AI61" s="318"/>
      <c r="AJ61" s="320"/>
      <c r="AK61" s="326"/>
      <c r="AL61" s="324" t="str">
        <f t="shared" si="31"/>
        <v/>
      </c>
      <c r="AM61" s="325" t="str">
        <f t="shared" si="12"/>
        <v/>
      </c>
      <c r="AN61" s="255"/>
      <c r="AO61" s="557" t="str">
        <f>IFERROR(VLOOKUP(K61,【参考】数式用!$A$2:$N$57,14,FALSE),"")</f>
        <v/>
      </c>
      <c r="AP61" s="557" t="str">
        <f t="shared" si="13"/>
        <v/>
      </c>
      <c r="AQ61" s="561" t="str">
        <f t="shared" si="32"/>
        <v/>
      </c>
      <c r="AR61" s="561" t="str">
        <f t="shared" si="30"/>
        <v>キャリアパス要件Ⅰ・Ⅱ_</v>
      </c>
      <c r="AS61" s="540" t="str">
        <f t="shared" si="33"/>
        <v>入力済</v>
      </c>
      <c r="AT61" s="557" t="str">
        <f t="shared" si="14"/>
        <v/>
      </c>
      <c r="AU61" s="540" t="str">
        <f t="shared" si="34"/>
        <v>入力済</v>
      </c>
      <c r="AV61" s="540" t="str">
        <f t="shared" si="35"/>
        <v/>
      </c>
      <c r="AW61" s="576" t="str">
        <f t="shared" si="15"/>
        <v/>
      </c>
      <c r="AX61" s="557" t="str">
        <f t="shared" si="36"/>
        <v/>
      </c>
      <c r="AY61" s="540" t="str">
        <f>IFERROR(VLOOKUP(K61,【参考】数式用!$AR$3:$AS$49, 2, FALSE), "")</f>
        <v/>
      </c>
      <c r="AZ61" s="557" t="str">
        <f t="shared" si="16"/>
        <v/>
      </c>
      <c r="BA61" s="560" t="str">
        <f t="shared" si="37"/>
        <v>入力済</v>
      </c>
      <c r="BB61" s="540" t="str">
        <f>IFERROR(VLOOKUP(K61,【参考】数式用!$AX$3:$AY$59, 2, FALSE), "")</f>
        <v/>
      </c>
      <c r="BC61" s="557" t="str">
        <f t="shared" si="17"/>
        <v/>
      </c>
      <c r="BD61" s="560" t="str">
        <f t="shared" si="38"/>
        <v>入力済</v>
      </c>
      <c r="BE61" s="560" t="str">
        <f t="shared" si="18"/>
        <v/>
      </c>
      <c r="BF61" s="560" t="str">
        <f t="shared" si="19"/>
        <v/>
      </c>
      <c r="BG61" s="560" t="str">
        <f t="shared" si="20"/>
        <v/>
      </c>
      <c r="BH61" s="560" t="str">
        <f t="shared" si="39"/>
        <v/>
      </c>
      <c r="BI61" s="560" t="str">
        <f t="shared" si="40"/>
        <v/>
      </c>
      <c r="BK61" s="27"/>
      <c r="BL61" s="607" t="str">
        <f t="shared" si="21"/>
        <v/>
      </c>
      <c r="BM61" s="607" t="str">
        <f t="shared" si="22"/>
        <v/>
      </c>
      <c r="BN61" s="607" t="str">
        <f t="shared" si="23"/>
        <v/>
      </c>
      <c r="BO61" s="608" t="str">
        <f>IF(BM61="","",ROUNDDOWN(L61*VLOOKUP(K61,【参考】数式用!$A$4:$J$42,10,FALSE)*AA61,0))</f>
        <v/>
      </c>
      <c r="BP61" s="607" t="str">
        <f t="shared" si="24"/>
        <v/>
      </c>
      <c r="BQ61" s="607" t="str">
        <f t="shared" si="25"/>
        <v/>
      </c>
      <c r="BR61" s="609" t="str">
        <f t="shared" si="26"/>
        <v/>
      </c>
      <c r="BS61" s="609" t="str">
        <f t="shared" si="27"/>
        <v/>
      </c>
      <c r="BT61" s="607" t="str">
        <f t="shared" si="28"/>
        <v/>
      </c>
      <c r="BU61" s="608" t="str">
        <f>IF(BT61="Ⅱロ有り",ROUNDDOWN(L61*VLOOKUP(K61,【参考】数式用!$A$4:$J$42,10,FALSE)*AA61,0),"")</f>
        <v/>
      </c>
      <c r="BV61" s="607" t="str">
        <f>IF(BT61="Ⅱロなし",ROUNDDOWN(L61*VLOOKUP(K61,【参考】数式用!$A$4:$J$42,8,FALSE)*AA61,0),"")</f>
        <v/>
      </c>
    </row>
    <row r="62" spans="1:74" ht="109.9" customHeight="1" thickBot="1">
      <c r="A62" s="303">
        <v>49</v>
      </c>
      <c r="B62" s="956" t="str">
        <f>IF(基本情報入力シート!B84="","",基本情報入力シート!B84)</f>
        <v/>
      </c>
      <c r="C62" s="957"/>
      <c r="D62" s="957"/>
      <c r="E62" s="957"/>
      <c r="F62" s="958"/>
      <c r="G62" s="304" t="str">
        <f>IF(基本情報入力シート!L84="", "", 基本情報入力シート!L84)</f>
        <v/>
      </c>
      <c r="H62" s="304" t="str">
        <f>IF(基本情報入力シート!Q84="", "", 基本情報入力シート!Q84)</f>
        <v/>
      </c>
      <c r="I62" s="304" t="str">
        <f>IF(基本情報入力シート!V84="", "", 基本情報入力シート!V84)</f>
        <v/>
      </c>
      <c r="J62" s="304" t="str">
        <f>IF(基本情報入力シート!W84="", "", 基本情報入力シート!W84)</f>
        <v/>
      </c>
      <c r="K62" s="304" t="str">
        <f>IF(基本情報入力シート!Z84="", "", 基本情報入力シート!Z84)</f>
        <v/>
      </c>
      <c r="L62" s="558" t="str">
        <f>IF(基本情報入力シート!AF84=0, "",基本情報入力シート!AF84)</f>
        <v/>
      </c>
      <c r="M62" s="524" t="str">
        <f>IF('別紙様式2-2（個票（４、５月））'!M62="","",'別紙様式2-2（個票（４、５月））'!M62)</f>
        <v/>
      </c>
      <c r="N62" s="523" t="str">
        <f>IF('別紙様式2-2（個票（４、５月））'!N62="","",'別紙様式2-2（個票（４、５月））'!N62)</f>
        <v/>
      </c>
      <c r="O62" s="286"/>
      <c r="P62" s="555" t="str">
        <f>IFERROR(VLOOKUP(K62,【参考】数式用!$A$2:$M$57,MATCH(O62,【参考】数式用!$G$3:$M$3,0)+6,0),"")</f>
        <v/>
      </c>
      <c r="Q62" s="310" t="s">
        <v>118</v>
      </c>
      <c r="R62" s="308"/>
      <c r="S62" s="309" t="s">
        <v>183</v>
      </c>
      <c r="T62" s="308"/>
      <c r="U62" s="309" t="s">
        <v>184</v>
      </c>
      <c r="V62" s="308"/>
      <c r="W62" s="309" t="s">
        <v>183</v>
      </c>
      <c r="X62" s="308"/>
      <c r="Y62" s="309" t="s">
        <v>120</v>
      </c>
      <c r="Z62" s="309" t="s">
        <v>186</v>
      </c>
      <c r="AA62" s="309" t="str">
        <f t="shared" si="29"/>
        <v/>
      </c>
      <c r="AB62" s="305" t="s">
        <v>187</v>
      </c>
      <c r="AC62" s="306" t="str">
        <f t="shared" si="10"/>
        <v/>
      </c>
      <c r="AD62" s="515" t="str">
        <f t="shared" si="11"/>
        <v/>
      </c>
      <c r="AE62" s="307" t="str">
        <f>IFERROR(ROUNDDOWN(ROUNDDOWN(ROUND(L62*VLOOKUP(K62,【参考】数式用!$A$2:$M$57,MATCH("処遇改善加算Ⅳ",【参考】数式用!$G$3:$M$3,0)+6,0),0),0)*AA62*0.5,0), "")</f>
        <v/>
      </c>
      <c r="AF62" s="318"/>
      <c r="AG62" s="319"/>
      <c r="AH62" s="319"/>
      <c r="AI62" s="318"/>
      <c r="AJ62" s="320"/>
      <c r="AK62" s="326"/>
      <c r="AL62" s="324" t="str">
        <f t="shared" si="31"/>
        <v/>
      </c>
      <c r="AM62" s="325" t="str">
        <f t="shared" si="12"/>
        <v/>
      </c>
      <c r="AN62" s="255"/>
      <c r="AO62" s="557" t="str">
        <f>IFERROR(VLOOKUP(K62,【参考】数式用!$A$2:$N$57,14,FALSE),"")</f>
        <v/>
      </c>
      <c r="AP62" s="557" t="str">
        <f t="shared" si="13"/>
        <v/>
      </c>
      <c r="AQ62" s="561" t="str">
        <f t="shared" si="32"/>
        <v/>
      </c>
      <c r="AR62" s="561" t="str">
        <f t="shared" si="30"/>
        <v>キャリアパス要件Ⅰ・Ⅱ_</v>
      </c>
      <c r="AS62" s="540" t="str">
        <f t="shared" si="33"/>
        <v>入力済</v>
      </c>
      <c r="AT62" s="557" t="str">
        <f t="shared" si="14"/>
        <v/>
      </c>
      <c r="AU62" s="540" t="str">
        <f t="shared" si="34"/>
        <v>入力済</v>
      </c>
      <c r="AV62" s="540" t="str">
        <f t="shared" si="35"/>
        <v/>
      </c>
      <c r="AW62" s="576" t="str">
        <f t="shared" si="15"/>
        <v/>
      </c>
      <c r="AX62" s="557" t="str">
        <f t="shared" si="36"/>
        <v/>
      </c>
      <c r="AY62" s="540" t="str">
        <f>IFERROR(VLOOKUP(K62,【参考】数式用!$AR$3:$AS$49, 2, FALSE), "")</f>
        <v/>
      </c>
      <c r="AZ62" s="557" t="str">
        <f t="shared" si="16"/>
        <v/>
      </c>
      <c r="BA62" s="560" t="str">
        <f t="shared" si="37"/>
        <v>入力済</v>
      </c>
      <c r="BB62" s="540" t="str">
        <f>IFERROR(VLOOKUP(K62,【参考】数式用!$AX$3:$AY$59, 2, FALSE), "")</f>
        <v/>
      </c>
      <c r="BC62" s="557" t="str">
        <f t="shared" si="17"/>
        <v/>
      </c>
      <c r="BD62" s="560" t="str">
        <f t="shared" si="38"/>
        <v>入力済</v>
      </c>
      <c r="BE62" s="560" t="str">
        <f t="shared" si="18"/>
        <v/>
      </c>
      <c r="BF62" s="560" t="str">
        <f t="shared" si="19"/>
        <v/>
      </c>
      <c r="BG62" s="560" t="str">
        <f t="shared" si="20"/>
        <v/>
      </c>
      <c r="BH62" s="560" t="str">
        <f t="shared" si="39"/>
        <v/>
      </c>
      <c r="BI62" s="560" t="str">
        <f t="shared" si="40"/>
        <v/>
      </c>
      <c r="BK62" s="27"/>
      <c r="BL62" s="607" t="str">
        <f t="shared" si="21"/>
        <v/>
      </c>
      <c r="BM62" s="607" t="str">
        <f t="shared" si="22"/>
        <v/>
      </c>
      <c r="BN62" s="607" t="str">
        <f t="shared" si="23"/>
        <v/>
      </c>
      <c r="BO62" s="608" t="str">
        <f>IF(BM62="","",ROUNDDOWN(L62*VLOOKUP(K62,【参考】数式用!$A$4:$J$42,10,FALSE)*AA62,0))</f>
        <v/>
      </c>
      <c r="BP62" s="607" t="str">
        <f t="shared" si="24"/>
        <v/>
      </c>
      <c r="BQ62" s="607" t="str">
        <f t="shared" si="25"/>
        <v/>
      </c>
      <c r="BR62" s="609" t="str">
        <f t="shared" si="26"/>
        <v/>
      </c>
      <c r="BS62" s="609" t="str">
        <f t="shared" si="27"/>
        <v/>
      </c>
      <c r="BT62" s="607" t="str">
        <f t="shared" si="28"/>
        <v/>
      </c>
      <c r="BU62" s="608" t="str">
        <f>IF(BT62="Ⅱロ有り",ROUNDDOWN(L62*VLOOKUP(K62,【参考】数式用!$A$4:$J$42,10,FALSE)*AA62,0),"")</f>
        <v/>
      </c>
      <c r="BV62" s="607" t="str">
        <f>IF(BT62="Ⅱロなし",ROUNDDOWN(L62*VLOOKUP(K62,【参考】数式用!$A$4:$J$42,8,FALSE)*AA62,0),"")</f>
        <v/>
      </c>
    </row>
    <row r="63" spans="1:74" ht="109.9" customHeight="1" thickBot="1">
      <c r="A63" s="303">
        <v>50</v>
      </c>
      <c r="B63" s="956" t="str">
        <f>IF(基本情報入力シート!B85="","",基本情報入力シート!B85)</f>
        <v/>
      </c>
      <c r="C63" s="957"/>
      <c r="D63" s="957"/>
      <c r="E63" s="957"/>
      <c r="F63" s="958"/>
      <c r="G63" s="304" t="str">
        <f>IF(基本情報入力シート!L85="", "", 基本情報入力シート!L85)</f>
        <v/>
      </c>
      <c r="H63" s="304" t="str">
        <f>IF(基本情報入力シート!Q85="", "", 基本情報入力シート!Q85)</f>
        <v/>
      </c>
      <c r="I63" s="304" t="str">
        <f>IF(基本情報入力シート!V85="", "", 基本情報入力シート!V85)</f>
        <v/>
      </c>
      <c r="J63" s="304" t="str">
        <f>IF(基本情報入力シート!W85="", "", 基本情報入力シート!W85)</f>
        <v/>
      </c>
      <c r="K63" s="304" t="str">
        <f>IF(基本情報入力シート!Z85="", "", 基本情報入力シート!Z85)</f>
        <v/>
      </c>
      <c r="L63" s="558" t="str">
        <f>IF(基本情報入力シート!AF85=0, "",基本情報入力シート!AF85)</f>
        <v/>
      </c>
      <c r="M63" s="524" t="str">
        <f>IF('別紙様式2-2（個票（４、５月））'!M63="","",'別紙様式2-2（個票（４、５月））'!M63)</f>
        <v/>
      </c>
      <c r="N63" s="523" t="str">
        <f>IF('別紙様式2-2（個票（４、５月））'!N63="","",'別紙様式2-2（個票（４、５月））'!N63)</f>
        <v/>
      </c>
      <c r="O63" s="286"/>
      <c r="P63" s="555" t="str">
        <f>IFERROR(VLOOKUP(K63,【参考】数式用!$A$2:$M$57,MATCH(O63,【参考】数式用!$G$3:$M$3,0)+6,0),"")</f>
        <v/>
      </c>
      <c r="Q63" s="310" t="s">
        <v>118</v>
      </c>
      <c r="R63" s="308"/>
      <c r="S63" s="309" t="s">
        <v>183</v>
      </c>
      <c r="T63" s="308"/>
      <c r="U63" s="309" t="s">
        <v>184</v>
      </c>
      <c r="V63" s="308"/>
      <c r="W63" s="309" t="s">
        <v>183</v>
      </c>
      <c r="X63" s="308"/>
      <c r="Y63" s="309" t="s">
        <v>120</v>
      </c>
      <c r="Z63" s="309" t="s">
        <v>186</v>
      </c>
      <c r="AA63" s="309" t="str">
        <f t="shared" si="29"/>
        <v/>
      </c>
      <c r="AB63" s="305" t="s">
        <v>187</v>
      </c>
      <c r="AC63" s="306" t="str">
        <f t="shared" si="10"/>
        <v/>
      </c>
      <c r="AD63" s="515" t="str">
        <f t="shared" si="11"/>
        <v/>
      </c>
      <c r="AE63" s="307" t="str">
        <f>IFERROR(ROUNDDOWN(ROUNDDOWN(ROUND(L63*VLOOKUP(K63,【参考】数式用!$A$2:$M$57,MATCH("処遇改善加算Ⅳ",【参考】数式用!$G$3:$M$3,0)+6,0),0),0)*AA63*0.5,0), "")</f>
        <v/>
      </c>
      <c r="AF63" s="318"/>
      <c r="AG63" s="319"/>
      <c r="AH63" s="319"/>
      <c r="AI63" s="318"/>
      <c r="AJ63" s="320"/>
      <c r="AK63" s="326"/>
      <c r="AL63" s="324" t="str">
        <f t="shared" si="31"/>
        <v/>
      </c>
      <c r="AM63" s="325" t="str">
        <f t="shared" si="12"/>
        <v/>
      </c>
      <c r="AN63" s="255"/>
      <c r="AO63" s="557" t="str">
        <f>IFERROR(VLOOKUP(K63,【参考】数式用!$A$2:$N$57,14,FALSE),"")</f>
        <v/>
      </c>
      <c r="AP63" s="557" t="str">
        <f t="shared" si="13"/>
        <v/>
      </c>
      <c r="AQ63" s="561" t="str">
        <f t="shared" si="32"/>
        <v/>
      </c>
      <c r="AR63" s="561" t="str">
        <f t="shared" si="30"/>
        <v>キャリアパス要件Ⅰ・Ⅱ_</v>
      </c>
      <c r="AS63" s="540" t="str">
        <f t="shared" si="33"/>
        <v>入力済</v>
      </c>
      <c r="AT63" s="557" t="str">
        <f t="shared" si="14"/>
        <v/>
      </c>
      <c r="AU63" s="540" t="str">
        <f t="shared" si="34"/>
        <v>入力済</v>
      </c>
      <c r="AV63" s="540" t="str">
        <f t="shared" si="35"/>
        <v/>
      </c>
      <c r="AW63" s="576" t="str">
        <f t="shared" si="15"/>
        <v/>
      </c>
      <c r="AX63" s="557" t="str">
        <f t="shared" si="36"/>
        <v/>
      </c>
      <c r="AY63" s="540" t="str">
        <f>IFERROR(VLOOKUP(K63,【参考】数式用!$AR$3:$AS$49, 2, FALSE), "")</f>
        <v/>
      </c>
      <c r="AZ63" s="557" t="str">
        <f t="shared" si="16"/>
        <v/>
      </c>
      <c r="BA63" s="560" t="str">
        <f t="shared" si="37"/>
        <v>入力済</v>
      </c>
      <c r="BB63" s="540" t="str">
        <f>IFERROR(VLOOKUP(K63,【参考】数式用!$AX$3:$AY$59, 2, FALSE), "")</f>
        <v/>
      </c>
      <c r="BC63" s="557" t="str">
        <f t="shared" si="17"/>
        <v/>
      </c>
      <c r="BD63" s="560" t="str">
        <f t="shared" si="38"/>
        <v>入力済</v>
      </c>
      <c r="BE63" s="560" t="str">
        <f t="shared" si="18"/>
        <v/>
      </c>
      <c r="BF63" s="560" t="str">
        <f t="shared" si="19"/>
        <v/>
      </c>
      <c r="BG63" s="560" t="str">
        <f t="shared" si="20"/>
        <v/>
      </c>
      <c r="BH63" s="560" t="str">
        <f t="shared" si="39"/>
        <v/>
      </c>
      <c r="BI63" s="560" t="str">
        <f t="shared" si="40"/>
        <v/>
      </c>
      <c r="BK63" s="27"/>
      <c r="BL63" s="607" t="str">
        <f t="shared" si="21"/>
        <v/>
      </c>
      <c r="BM63" s="607" t="str">
        <f t="shared" si="22"/>
        <v/>
      </c>
      <c r="BN63" s="607" t="str">
        <f t="shared" si="23"/>
        <v/>
      </c>
      <c r="BO63" s="608" t="str">
        <f>IF(BM63="","",ROUNDDOWN(L63*VLOOKUP(K63,【参考】数式用!$A$4:$J$42,10,FALSE)*AA63,0))</f>
        <v/>
      </c>
      <c r="BP63" s="607" t="str">
        <f t="shared" si="24"/>
        <v/>
      </c>
      <c r="BQ63" s="607" t="str">
        <f t="shared" si="25"/>
        <v/>
      </c>
      <c r="BR63" s="609" t="str">
        <f t="shared" si="26"/>
        <v/>
      </c>
      <c r="BS63" s="609" t="str">
        <f t="shared" si="27"/>
        <v/>
      </c>
      <c r="BT63" s="607" t="str">
        <f t="shared" si="28"/>
        <v/>
      </c>
      <c r="BU63" s="608" t="str">
        <f>IF(BT63="Ⅱロ有り",ROUNDDOWN(L63*VLOOKUP(K63,【参考】数式用!$A$4:$J$42,10,FALSE)*AA63,0),"")</f>
        <v/>
      </c>
      <c r="BV63" s="607" t="str">
        <f>IF(BT63="Ⅱロなし",ROUNDDOWN(L63*VLOOKUP(K63,【参考】数式用!$A$4:$J$42,8,FALSE)*AA63,0),"")</f>
        <v/>
      </c>
    </row>
    <row r="64" spans="1:74" ht="109.9" customHeight="1" thickBot="1">
      <c r="A64" s="303">
        <v>51</v>
      </c>
      <c r="B64" s="956" t="str">
        <f>IF(基本情報入力シート!B86="","",基本情報入力シート!B86)</f>
        <v/>
      </c>
      <c r="C64" s="957"/>
      <c r="D64" s="957"/>
      <c r="E64" s="957"/>
      <c r="F64" s="958"/>
      <c r="G64" s="304" t="str">
        <f>IF(基本情報入力シート!L86="", "", 基本情報入力シート!L86)</f>
        <v/>
      </c>
      <c r="H64" s="304" t="str">
        <f>IF(基本情報入力シート!Q86="", "", 基本情報入力シート!Q86)</f>
        <v/>
      </c>
      <c r="I64" s="304" t="str">
        <f>IF(基本情報入力シート!V86="", "", 基本情報入力シート!V86)</f>
        <v/>
      </c>
      <c r="J64" s="304" t="str">
        <f>IF(基本情報入力シート!W86="", "", 基本情報入力シート!W86)</f>
        <v/>
      </c>
      <c r="K64" s="304" t="str">
        <f>IF(基本情報入力シート!Z86="", "", 基本情報入力シート!Z86)</f>
        <v/>
      </c>
      <c r="L64" s="558" t="str">
        <f>IF(基本情報入力シート!AF86=0, "",基本情報入力シート!AF86)</f>
        <v/>
      </c>
      <c r="M64" s="524" t="str">
        <f>IF('別紙様式2-2（個票（４、５月））'!M64="","",'別紙様式2-2（個票（４、５月））'!M64)</f>
        <v/>
      </c>
      <c r="N64" s="523" t="str">
        <f>IF('別紙様式2-2（個票（４、５月））'!N64="","",'別紙様式2-2（個票（４、５月））'!N64)</f>
        <v/>
      </c>
      <c r="O64" s="286"/>
      <c r="P64" s="555" t="str">
        <f>IFERROR(VLOOKUP(K64,【参考】数式用!$A$2:$M$57,MATCH(O64,【参考】数式用!$G$3:$M$3,0)+6,0),"")</f>
        <v/>
      </c>
      <c r="Q64" s="310" t="s">
        <v>118</v>
      </c>
      <c r="R64" s="308"/>
      <c r="S64" s="309" t="s">
        <v>183</v>
      </c>
      <c r="T64" s="308"/>
      <c r="U64" s="309" t="s">
        <v>184</v>
      </c>
      <c r="V64" s="308"/>
      <c r="W64" s="309" t="s">
        <v>183</v>
      </c>
      <c r="X64" s="308"/>
      <c r="Y64" s="309" t="s">
        <v>185</v>
      </c>
      <c r="Z64" s="309" t="s">
        <v>186</v>
      </c>
      <c r="AA64" s="309" t="str">
        <f t="shared" si="29"/>
        <v/>
      </c>
      <c r="AB64" s="305" t="s">
        <v>187</v>
      </c>
      <c r="AC64" s="306" t="str">
        <f t="shared" si="10"/>
        <v/>
      </c>
      <c r="AD64" s="515" t="str">
        <f t="shared" si="11"/>
        <v/>
      </c>
      <c r="AE64" s="307" t="str">
        <f>IFERROR(ROUNDDOWN(ROUNDDOWN(ROUND(L64*VLOOKUP(K64,【参考】数式用!$A$2:$M$57,MATCH("処遇改善加算Ⅳ",【参考】数式用!$G$3:$M$3,0)+6,0),0),0)*AA64*0.5,0), "")</f>
        <v/>
      </c>
      <c r="AF64" s="318"/>
      <c r="AG64" s="319"/>
      <c r="AH64" s="319"/>
      <c r="AI64" s="318"/>
      <c r="AJ64" s="320"/>
      <c r="AK64" s="326"/>
      <c r="AL64" s="324" t="str">
        <f t="shared" si="31"/>
        <v/>
      </c>
      <c r="AM64" s="325" t="str">
        <f t="shared" si="12"/>
        <v/>
      </c>
      <c r="AN64" s="255"/>
      <c r="AO64" s="557" t="str">
        <f>IFERROR(VLOOKUP(K64,【参考】数式用!$A$2:$N$57,14,FALSE),"")</f>
        <v/>
      </c>
      <c r="AP64" s="557" t="str">
        <f t="shared" si="13"/>
        <v/>
      </c>
      <c r="AQ64" s="561" t="str">
        <f t="shared" si="32"/>
        <v/>
      </c>
      <c r="AR64" s="561" t="str">
        <f t="shared" si="30"/>
        <v>キャリアパス要件Ⅰ・Ⅱ_</v>
      </c>
      <c r="AS64" s="540" t="str">
        <f t="shared" si="33"/>
        <v>入力済</v>
      </c>
      <c r="AT64" s="557" t="str">
        <f t="shared" si="14"/>
        <v/>
      </c>
      <c r="AU64" s="540" t="str">
        <f t="shared" si="34"/>
        <v>入力済</v>
      </c>
      <c r="AV64" s="540" t="str">
        <f t="shared" si="35"/>
        <v/>
      </c>
      <c r="AW64" s="576" t="str">
        <f t="shared" si="15"/>
        <v/>
      </c>
      <c r="AX64" s="557" t="str">
        <f t="shared" si="36"/>
        <v/>
      </c>
      <c r="AY64" s="540" t="str">
        <f>IFERROR(VLOOKUP(K64,【参考】数式用!$AR$3:$AS$49, 2, FALSE), "")</f>
        <v/>
      </c>
      <c r="AZ64" s="557" t="str">
        <f t="shared" si="16"/>
        <v/>
      </c>
      <c r="BA64" s="560" t="str">
        <f t="shared" si="37"/>
        <v>入力済</v>
      </c>
      <c r="BB64" s="540" t="str">
        <f>IFERROR(VLOOKUP(K64,【参考】数式用!$AX$3:$AY$59, 2, FALSE), "")</f>
        <v/>
      </c>
      <c r="BC64" s="557" t="str">
        <f t="shared" si="17"/>
        <v/>
      </c>
      <c r="BD64" s="560" t="str">
        <f t="shared" si="38"/>
        <v>入力済</v>
      </c>
      <c r="BE64" s="560" t="str">
        <f t="shared" si="18"/>
        <v/>
      </c>
      <c r="BF64" s="560" t="str">
        <f t="shared" si="19"/>
        <v/>
      </c>
      <c r="BG64" s="560" t="str">
        <f t="shared" si="20"/>
        <v/>
      </c>
      <c r="BH64" s="560" t="str">
        <f t="shared" si="39"/>
        <v/>
      </c>
      <c r="BI64" s="560" t="str">
        <f t="shared" si="40"/>
        <v/>
      </c>
      <c r="BK64" s="27"/>
      <c r="BL64" s="607" t="str">
        <f t="shared" si="21"/>
        <v/>
      </c>
      <c r="BM64" s="607" t="str">
        <f t="shared" si="22"/>
        <v/>
      </c>
      <c r="BN64" s="607" t="str">
        <f t="shared" si="23"/>
        <v/>
      </c>
      <c r="BO64" s="608" t="str">
        <f>IF(BM64="","",ROUNDDOWN(L64*VLOOKUP(K64,【参考】数式用!$A$4:$J$42,10,FALSE)*AA64,0))</f>
        <v/>
      </c>
      <c r="BP64" s="607" t="str">
        <f t="shared" si="24"/>
        <v/>
      </c>
      <c r="BQ64" s="607" t="str">
        <f t="shared" si="25"/>
        <v/>
      </c>
      <c r="BR64" s="609" t="str">
        <f t="shared" si="26"/>
        <v/>
      </c>
      <c r="BS64" s="609" t="str">
        <f t="shared" si="27"/>
        <v/>
      </c>
      <c r="BT64" s="607" t="str">
        <f t="shared" si="28"/>
        <v/>
      </c>
      <c r="BU64" s="608" t="str">
        <f>IF(BT64="Ⅱロ有り",ROUNDDOWN(L64*VLOOKUP(K64,【参考】数式用!$A$4:$J$42,10,FALSE)*AA64,0),"")</f>
        <v/>
      </c>
      <c r="BV64" s="607" t="str">
        <f>IF(BT64="Ⅱロなし",ROUNDDOWN(L64*VLOOKUP(K64,【参考】数式用!$A$4:$J$42,8,FALSE)*AA64,0),"")</f>
        <v/>
      </c>
    </row>
    <row r="65" spans="1:74" ht="109.9" customHeight="1" thickBot="1">
      <c r="A65" s="303">
        <v>52</v>
      </c>
      <c r="B65" s="956" t="str">
        <f>IF(基本情報入力シート!B87="","",基本情報入力シート!B87)</f>
        <v/>
      </c>
      <c r="C65" s="957"/>
      <c r="D65" s="957"/>
      <c r="E65" s="957"/>
      <c r="F65" s="958"/>
      <c r="G65" s="304" t="str">
        <f>IF(基本情報入力シート!L87="", "", 基本情報入力シート!L87)</f>
        <v/>
      </c>
      <c r="H65" s="304" t="str">
        <f>IF(基本情報入力シート!Q87="", "", 基本情報入力シート!Q87)</f>
        <v/>
      </c>
      <c r="I65" s="304" t="str">
        <f>IF(基本情報入力シート!V87="", "", 基本情報入力シート!V87)</f>
        <v/>
      </c>
      <c r="J65" s="304" t="str">
        <f>IF(基本情報入力シート!W87="", "", 基本情報入力シート!W87)</f>
        <v/>
      </c>
      <c r="K65" s="304" t="str">
        <f>IF(基本情報入力シート!Z87="", "", 基本情報入力シート!Z87)</f>
        <v/>
      </c>
      <c r="L65" s="558" t="str">
        <f>IF(基本情報入力シート!AF87=0, "",基本情報入力シート!AF87)</f>
        <v/>
      </c>
      <c r="M65" s="524" t="str">
        <f>IF('別紙様式2-2（個票（４、５月））'!M65="","",'別紙様式2-2（個票（４、５月））'!M65)</f>
        <v/>
      </c>
      <c r="N65" s="523" t="str">
        <f>IF('別紙様式2-2（個票（４、５月））'!N65="","",'別紙様式2-2（個票（４、５月））'!N65)</f>
        <v/>
      </c>
      <c r="O65" s="286"/>
      <c r="P65" s="555" t="str">
        <f>IFERROR(VLOOKUP(K65,【参考】数式用!$A$2:$M$57,MATCH(O65,【参考】数式用!$G$3:$M$3,0)+6,0),"")</f>
        <v/>
      </c>
      <c r="Q65" s="310" t="s">
        <v>118</v>
      </c>
      <c r="R65" s="308"/>
      <c r="S65" s="309" t="s">
        <v>183</v>
      </c>
      <c r="T65" s="308"/>
      <c r="U65" s="309" t="s">
        <v>184</v>
      </c>
      <c r="V65" s="308"/>
      <c r="W65" s="309" t="s">
        <v>183</v>
      </c>
      <c r="X65" s="308"/>
      <c r="Y65" s="309" t="s">
        <v>185</v>
      </c>
      <c r="Z65" s="309" t="s">
        <v>186</v>
      </c>
      <c r="AA65" s="309" t="str">
        <f t="shared" si="29"/>
        <v/>
      </c>
      <c r="AB65" s="305" t="s">
        <v>187</v>
      </c>
      <c r="AC65" s="306" t="str">
        <f t="shared" si="10"/>
        <v/>
      </c>
      <c r="AD65" s="515" t="str">
        <f t="shared" si="11"/>
        <v/>
      </c>
      <c r="AE65" s="307" t="str">
        <f>IFERROR(ROUNDDOWN(ROUNDDOWN(ROUND(L65*VLOOKUP(K65,【参考】数式用!$A$2:$M$57,MATCH("処遇改善加算Ⅳ",【参考】数式用!$G$3:$M$3,0)+6,0),0),0)*AA65*0.5,0), "")</f>
        <v/>
      </c>
      <c r="AF65" s="318"/>
      <c r="AG65" s="319"/>
      <c r="AH65" s="319"/>
      <c r="AI65" s="318"/>
      <c r="AJ65" s="320"/>
      <c r="AK65" s="326"/>
      <c r="AL65" s="324" t="str">
        <f t="shared" si="31"/>
        <v/>
      </c>
      <c r="AM65" s="325" t="str">
        <f t="shared" si="12"/>
        <v/>
      </c>
      <c r="AN65" s="255"/>
      <c r="AO65" s="557" t="str">
        <f>IFERROR(VLOOKUP(K65,【参考】数式用!$A$2:$N$57,14,FALSE),"")</f>
        <v/>
      </c>
      <c r="AP65" s="557" t="str">
        <f t="shared" si="13"/>
        <v/>
      </c>
      <c r="AQ65" s="561" t="str">
        <f t="shared" si="32"/>
        <v/>
      </c>
      <c r="AR65" s="561" t="str">
        <f t="shared" si="30"/>
        <v>キャリアパス要件Ⅰ・Ⅱ_</v>
      </c>
      <c r="AS65" s="540" t="str">
        <f t="shared" si="33"/>
        <v>入力済</v>
      </c>
      <c r="AT65" s="557" t="str">
        <f t="shared" si="14"/>
        <v/>
      </c>
      <c r="AU65" s="540" t="str">
        <f t="shared" si="34"/>
        <v>入力済</v>
      </c>
      <c r="AV65" s="540" t="str">
        <f t="shared" si="35"/>
        <v/>
      </c>
      <c r="AW65" s="576" t="str">
        <f t="shared" si="15"/>
        <v/>
      </c>
      <c r="AX65" s="557" t="str">
        <f t="shared" si="36"/>
        <v/>
      </c>
      <c r="AY65" s="540" t="str">
        <f>IFERROR(VLOOKUP(K65,【参考】数式用!$AR$3:$AS$49, 2, FALSE), "")</f>
        <v/>
      </c>
      <c r="AZ65" s="557" t="str">
        <f t="shared" si="16"/>
        <v/>
      </c>
      <c r="BA65" s="560" t="str">
        <f t="shared" si="37"/>
        <v>入力済</v>
      </c>
      <c r="BB65" s="540" t="str">
        <f>IFERROR(VLOOKUP(K65,【参考】数式用!$AX$3:$AY$59, 2, FALSE), "")</f>
        <v/>
      </c>
      <c r="BC65" s="557" t="str">
        <f t="shared" si="17"/>
        <v/>
      </c>
      <c r="BD65" s="560" t="str">
        <f t="shared" si="38"/>
        <v>入力済</v>
      </c>
      <c r="BE65" s="560" t="str">
        <f t="shared" si="18"/>
        <v/>
      </c>
      <c r="BF65" s="560" t="str">
        <f t="shared" si="19"/>
        <v/>
      </c>
      <c r="BG65" s="560" t="str">
        <f t="shared" si="20"/>
        <v/>
      </c>
      <c r="BH65" s="560" t="str">
        <f t="shared" si="39"/>
        <v/>
      </c>
      <c r="BI65" s="560" t="str">
        <f t="shared" si="40"/>
        <v/>
      </c>
      <c r="BK65" s="27"/>
      <c r="BL65" s="607" t="str">
        <f t="shared" si="21"/>
        <v/>
      </c>
      <c r="BM65" s="607" t="str">
        <f t="shared" si="22"/>
        <v/>
      </c>
      <c r="BN65" s="607" t="str">
        <f t="shared" si="23"/>
        <v/>
      </c>
      <c r="BO65" s="608" t="str">
        <f>IF(BM65="","",ROUNDDOWN(L65*VLOOKUP(K65,【参考】数式用!$A$4:$J$42,10,FALSE)*AA65,0))</f>
        <v/>
      </c>
      <c r="BP65" s="607" t="str">
        <f t="shared" si="24"/>
        <v/>
      </c>
      <c r="BQ65" s="607" t="str">
        <f t="shared" si="25"/>
        <v/>
      </c>
      <c r="BR65" s="609" t="str">
        <f t="shared" si="26"/>
        <v/>
      </c>
      <c r="BS65" s="609" t="str">
        <f t="shared" si="27"/>
        <v/>
      </c>
      <c r="BT65" s="607" t="str">
        <f t="shared" si="28"/>
        <v/>
      </c>
      <c r="BU65" s="608" t="str">
        <f>IF(BT65="Ⅱロ有り",ROUNDDOWN(L65*VLOOKUP(K65,【参考】数式用!$A$4:$J$42,10,FALSE)*AA65,0),"")</f>
        <v/>
      </c>
      <c r="BV65" s="607" t="str">
        <f>IF(BT65="Ⅱロなし",ROUNDDOWN(L65*VLOOKUP(K65,【参考】数式用!$A$4:$J$42,8,FALSE)*AA65,0),"")</f>
        <v/>
      </c>
    </row>
    <row r="66" spans="1:74" ht="109.9" customHeight="1" thickBot="1">
      <c r="A66" s="303">
        <v>53</v>
      </c>
      <c r="B66" s="956" t="str">
        <f>IF(基本情報入力シート!B88="","",基本情報入力シート!B88)</f>
        <v/>
      </c>
      <c r="C66" s="957"/>
      <c r="D66" s="957"/>
      <c r="E66" s="957"/>
      <c r="F66" s="958"/>
      <c r="G66" s="304" t="str">
        <f>IF(基本情報入力シート!L88="", "", 基本情報入力シート!L88)</f>
        <v/>
      </c>
      <c r="H66" s="304" t="str">
        <f>IF(基本情報入力シート!Q88="", "", 基本情報入力シート!Q88)</f>
        <v/>
      </c>
      <c r="I66" s="304" t="str">
        <f>IF(基本情報入力シート!V88="", "", 基本情報入力シート!V88)</f>
        <v/>
      </c>
      <c r="J66" s="304" t="str">
        <f>IF(基本情報入力シート!W88="", "", 基本情報入力シート!W88)</f>
        <v/>
      </c>
      <c r="K66" s="304" t="str">
        <f>IF(基本情報入力シート!Z88="", "", 基本情報入力シート!Z88)</f>
        <v/>
      </c>
      <c r="L66" s="558" t="str">
        <f>IF(基本情報入力シート!AF88=0, "",基本情報入力シート!AF88)</f>
        <v/>
      </c>
      <c r="M66" s="524" t="str">
        <f>IF('別紙様式2-2（個票（４、５月））'!M66="","",'別紙様式2-2（個票（４、５月））'!M66)</f>
        <v/>
      </c>
      <c r="N66" s="523" t="str">
        <f>IF('別紙様式2-2（個票（４、５月））'!N66="","",'別紙様式2-2（個票（４、５月））'!N66)</f>
        <v/>
      </c>
      <c r="O66" s="286"/>
      <c r="P66" s="555" t="str">
        <f>IFERROR(VLOOKUP(K66,【参考】数式用!$A$2:$M$57,MATCH(O66,【参考】数式用!$G$3:$M$3,0)+6,0),"")</f>
        <v/>
      </c>
      <c r="Q66" s="310" t="s">
        <v>118</v>
      </c>
      <c r="R66" s="308"/>
      <c r="S66" s="309" t="s">
        <v>183</v>
      </c>
      <c r="T66" s="308"/>
      <c r="U66" s="309" t="s">
        <v>184</v>
      </c>
      <c r="V66" s="308"/>
      <c r="W66" s="309" t="s">
        <v>183</v>
      </c>
      <c r="X66" s="308"/>
      <c r="Y66" s="309" t="s">
        <v>185</v>
      </c>
      <c r="Z66" s="309" t="s">
        <v>186</v>
      </c>
      <c r="AA66" s="309" t="str">
        <f t="shared" si="29"/>
        <v/>
      </c>
      <c r="AB66" s="305" t="s">
        <v>187</v>
      </c>
      <c r="AC66" s="306" t="str">
        <f t="shared" si="10"/>
        <v/>
      </c>
      <c r="AD66" s="515" t="str">
        <f t="shared" si="11"/>
        <v/>
      </c>
      <c r="AE66" s="307" t="str">
        <f>IFERROR(ROUNDDOWN(ROUNDDOWN(ROUND(L66*VLOOKUP(K66,【参考】数式用!$A$2:$M$57,MATCH("処遇改善加算Ⅳ",【参考】数式用!$G$3:$M$3,0)+6,0),0),0)*AA66*0.5,0), "")</f>
        <v/>
      </c>
      <c r="AF66" s="318"/>
      <c r="AG66" s="319"/>
      <c r="AH66" s="319"/>
      <c r="AI66" s="318"/>
      <c r="AJ66" s="320"/>
      <c r="AK66" s="326"/>
      <c r="AL66" s="324" t="str">
        <f t="shared" si="31"/>
        <v/>
      </c>
      <c r="AM66" s="325" t="str">
        <f t="shared" si="12"/>
        <v/>
      </c>
      <c r="AN66" s="255"/>
      <c r="AO66" s="557" t="str">
        <f>IFERROR(VLOOKUP(K66,【参考】数式用!$A$2:$N$57,14,FALSE),"")</f>
        <v/>
      </c>
      <c r="AP66" s="557" t="str">
        <f t="shared" si="13"/>
        <v/>
      </c>
      <c r="AQ66" s="561" t="str">
        <f t="shared" si="32"/>
        <v/>
      </c>
      <c r="AR66" s="561" t="str">
        <f t="shared" si="30"/>
        <v>キャリアパス要件Ⅰ・Ⅱ_</v>
      </c>
      <c r="AS66" s="540" t="str">
        <f t="shared" si="33"/>
        <v>入力済</v>
      </c>
      <c r="AT66" s="557" t="str">
        <f t="shared" si="14"/>
        <v/>
      </c>
      <c r="AU66" s="540" t="str">
        <f t="shared" si="34"/>
        <v>入力済</v>
      </c>
      <c r="AV66" s="540" t="str">
        <f t="shared" si="35"/>
        <v/>
      </c>
      <c r="AW66" s="576" t="str">
        <f t="shared" si="15"/>
        <v/>
      </c>
      <c r="AX66" s="557" t="str">
        <f t="shared" si="36"/>
        <v/>
      </c>
      <c r="AY66" s="540" t="str">
        <f>IFERROR(VLOOKUP(K66,【参考】数式用!$AR$3:$AS$49, 2, FALSE), "")</f>
        <v/>
      </c>
      <c r="AZ66" s="557" t="str">
        <f t="shared" si="16"/>
        <v/>
      </c>
      <c r="BA66" s="560" t="str">
        <f t="shared" si="37"/>
        <v>入力済</v>
      </c>
      <c r="BB66" s="540" t="str">
        <f>IFERROR(VLOOKUP(K66,【参考】数式用!$AX$3:$AY$59, 2, FALSE), "")</f>
        <v/>
      </c>
      <c r="BC66" s="557" t="str">
        <f t="shared" si="17"/>
        <v/>
      </c>
      <c r="BD66" s="560" t="str">
        <f t="shared" si="38"/>
        <v>入力済</v>
      </c>
      <c r="BE66" s="560" t="str">
        <f t="shared" si="18"/>
        <v/>
      </c>
      <c r="BF66" s="560" t="str">
        <f t="shared" si="19"/>
        <v/>
      </c>
      <c r="BG66" s="560" t="str">
        <f t="shared" si="20"/>
        <v/>
      </c>
      <c r="BH66" s="560" t="str">
        <f t="shared" si="39"/>
        <v/>
      </c>
      <c r="BI66" s="560" t="str">
        <f t="shared" si="40"/>
        <v/>
      </c>
      <c r="BK66" s="27"/>
      <c r="BL66" s="607" t="str">
        <f t="shared" si="21"/>
        <v/>
      </c>
      <c r="BM66" s="607" t="str">
        <f t="shared" si="22"/>
        <v/>
      </c>
      <c r="BN66" s="607" t="str">
        <f t="shared" si="23"/>
        <v/>
      </c>
      <c r="BO66" s="608" t="str">
        <f>IF(BM66="","",ROUNDDOWN(L66*VLOOKUP(K66,【参考】数式用!$A$4:$J$42,10,FALSE)*AA66,0))</f>
        <v/>
      </c>
      <c r="BP66" s="607" t="str">
        <f t="shared" si="24"/>
        <v/>
      </c>
      <c r="BQ66" s="607" t="str">
        <f t="shared" si="25"/>
        <v/>
      </c>
      <c r="BR66" s="609" t="str">
        <f t="shared" si="26"/>
        <v/>
      </c>
      <c r="BS66" s="609" t="str">
        <f t="shared" si="27"/>
        <v/>
      </c>
      <c r="BT66" s="607" t="str">
        <f t="shared" si="28"/>
        <v/>
      </c>
      <c r="BU66" s="608" t="str">
        <f>IF(BT66="Ⅱロ有り",ROUNDDOWN(L66*VLOOKUP(K66,【参考】数式用!$A$4:$J$42,10,FALSE)*AA66,0),"")</f>
        <v/>
      </c>
      <c r="BV66" s="607" t="str">
        <f>IF(BT66="Ⅱロなし",ROUNDDOWN(L66*VLOOKUP(K66,【参考】数式用!$A$4:$J$42,8,FALSE)*AA66,0),"")</f>
        <v/>
      </c>
    </row>
    <row r="67" spans="1:74" ht="109.9" customHeight="1" thickBot="1">
      <c r="A67" s="303">
        <v>54</v>
      </c>
      <c r="B67" s="956" t="str">
        <f>IF(基本情報入力シート!B89="","",基本情報入力シート!B89)</f>
        <v/>
      </c>
      <c r="C67" s="957"/>
      <c r="D67" s="957"/>
      <c r="E67" s="957"/>
      <c r="F67" s="958"/>
      <c r="G67" s="304" t="str">
        <f>IF(基本情報入力シート!L89="", "", 基本情報入力シート!L89)</f>
        <v/>
      </c>
      <c r="H67" s="304" t="str">
        <f>IF(基本情報入力シート!Q89="", "", 基本情報入力シート!Q89)</f>
        <v/>
      </c>
      <c r="I67" s="304" t="str">
        <f>IF(基本情報入力シート!V89="", "", 基本情報入力シート!V89)</f>
        <v/>
      </c>
      <c r="J67" s="304" t="str">
        <f>IF(基本情報入力シート!W89="", "", 基本情報入力シート!W89)</f>
        <v/>
      </c>
      <c r="K67" s="304" t="str">
        <f>IF(基本情報入力シート!Z89="", "", 基本情報入力シート!Z89)</f>
        <v/>
      </c>
      <c r="L67" s="558" t="str">
        <f>IF(基本情報入力シート!AF89=0, "",基本情報入力シート!AF89)</f>
        <v/>
      </c>
      <c r="M67" s="524" t="str">
        <f>IF('別紙様式2-2（個票（４、５月））'!M67="","",'別紙様式2-2（個票（４、５月））'!M67)</f>
        <v/>
      </c>
      <c r="N67" s="523" t="str">
        <f>IF('別紙様式2-2（個票（４、５月））'!N67="","",'別紙様式2-2（個票（４、５月））'!N67)</f>
        <v/>
      </c>
      <c r="O67" s="286"/>
      <c r="P67" s="555" t="str">
        <f>IFERROR(VLOOKUP(K67,【参考】数式用!$A$2:$M$57,MATCH(O67,【参考】数式用!$G$3:$M$3,0)+6,0),"")</f>
        <v/>
      </c>
      <c r="Q67" s="310" t="s">
        <v>118</v>
      </c>
      <c r="R67" s="308"/>
      <c r="S67" s="309" t="s">
        <v>183</v>
      </c>
      <c r="T67" s="308"/>
      <c r="U67" s="309" t="s">
        <v>184</v>
      </c>
      <c r="V67" s="308"/>
      <c r="W67" s="309" t="s">
        <v>183</v>
      </c>
      <c r="X67" s="308"/>
      <c r="Y67" s="309" t="s">
        <v>120</v>
      </c>
      <c r="Z67" s="309" t="s">
        <v>186</v>
      </c>
      <c r="AA67" s="309" t="str">
        <f t="shared" si="29"/>
        <v/>
      </c>
      <c r="AB67" s="305" t="s">
        <v>187</v>
      </c>
      <c r="AC67" s="306" t="str">
        <f t="shared" si="10"/>
        <v/>
      </c>
      <c r="AD67" s="515" t="str">
        <f t="shared" si="11"/>
        <v/>
      </c>
      <c r="AE67" s="307" t="str">
        <f>IFERROR(ROUNDDOWN(ROUNDDOWN(ROUND(L67*VLOOKUP(K67,【参考】数式用!$A$2:$M$57,MATCH("処遇改善加算Ⅳ",【参考】数式用!$G$3:$M$3,0)+6,0),0),0)*AA67*0.5,0), "")</f>
        <v/>
      </c>
      <c r="AF67" s="318"/>
      <c r="AG67" s="319"/>
      <c r="AH67" s="319"/>
      <c r="AI67" s="318"/>
      <c r="AJ67" s="320"/>
      <c r="AK67" s="326"/>
      <c r="AL67" s="324" t="str">
        <f t="shared" si="31"/>
        <v/>
      </c>
      <c r="AM67" s="325" t="str">
        <f t="shared" si="12"/>
        <v/>
      </c>
      <c r="AN67" s="255"/>
      <c r="AO67" s="557" t="str">
        <f>IFERROR(VLOOKUP(K67,【参考】数式用!$A$2:$N$57,14,FALSE),"")</f>
        <v/>
      </c>
      <c r="AP67" s="557" t="str">
        <f t="shared" si="13"/>
        <v/>
      </c>
      <c r="AQ67" s="561" t="str">
        <f t="shared" si="32"/>
        <v/>
      </c>
      <c r="AR67" s="561" t="str">
        <f t="shared" si="30"/>
        <v>キャリアパス要件Ⅰ・Ⅱ_</v>
      </c>
      <c r="AS67" s="540" t="str">
        <f t="shared" si="33"/>
        <v>入力済</v>
      </c>
      <c r="AT67" s="557" t="str">
        <f t="shared" si="14"/>
        <v/>
      </c>
      <c r="AU67" s="540" t="str">
        <f t="shared" si="34"/>
        <v>入力済</v>
      </c>
      <c r="AV67" s="540" t="str">
        <f t="shared" si="35"/>
        <v/>
      </c>
      <c r="AW67" s="576" t="str">
        <f t="shared" si="15"/>
        <v/>
      </c>
      <c r="AX67" s="557" t="str">
        <f t="shared" si="36"/>
        <v/>
      </c>
      <c r="AY67" s="540" t="str">
        <f>IFERROR(VLOOKUP(K67,【参考】数式用!$AR$3:$AS$49, 2, FALSE), "")</f>
        <v/>
      </c>
      <c r="AZ67" s="557" t="str">
        <f t="shared" si="16"/>
        <v/>
      </c>
      <c r="BA67" s="560" t="str">
        <f t="shared" si="37"/>
        <v>入力済</v>
      </c>
      <c r="BB67" s="540" t="str">
        <f>IFERROR(VLOOKUP(K67,【参考】数式用!$AX$3:$AY$59, 2, FALSE), "")</f>
        <v/>
      </c>
      <c r="BC67" s="557" t="str">
        <f t="shared" si="17"/>
        <v/>
      </c>
      <c r="BD67" s="560" t="str">
        <f t="shared" si="38"/>
        <v>入力済</v>
      </c>
      <c r="BE67" s="560" t="str">
        <f t="shared" si="18"/>
        <v/>
      </c>
      <c r="BF67" s="560" t="str">
        <f t="shared" si="19"/>
        <v/>
      </c>
      <c r="BG67" s="560" t="str">
        <f t="shared" si="20"/>
        <v/>
      </c>
      <c r="BH67" s="560" t="str">
        <f t="shared" si="39"/>
        <v/>
      </c>
      <c r="BI67" s="560" t="str">
        <f t="shared" si="40"/>
        <v/>
      </c>
      <c r="BK67" s="27"/>
      <c r="BL67" s="607" t="str">
        <f t="shared" si="21"/>
        <v/>
      </c>
      <c r="BM67" s="607" t="str">
        <f t="shared" si="22"/>
        <v/>
      </c>
      <c r="BN67" s="607" t="str">
        <f t="shared" si="23"/>
        <v/>
      </c>
      <c r="BO67" s="608" t="str">
        <f>IF(BM67="","",ROUNDDOWN(L67*VLOOKUP(K67,【参考】数式用!$A$4:$J$42,10,FALSE)*AA67,0))</f>
        <v/>
      </c>
      <c r="BP67" s="607" t="str">
        <f t="shared" si="24"/>
        <v/>
      </c>
      <c r="BQ67" s="607" t="str">
        <f t="shared" si="25"/>
        <v/>
      </c>
      <c r="BR67" s="609" t="str">
        <f t="shared" si="26"/>
        <v/>
      </c>
      <c r="BS67" s="609" t="str">
        <f t="shared" si="27"/>
        <v/>
      </c>
      <c r="BT67" s="607" t="str">
        <f t="shared" si="28"/>
        <v/>
      </c>
      <c r="BU67" s="608" t="str">
        <f>IF(BT67="Ⅱロ有り",ROUNDDOWN(L67*VLOOKUP(K67,【参考】数式用!$A$4:$J$42,10,FALSE)*AA67,0),"")</f>
        <v/>
      </c>
      <c r="BV67" s="607" t="str">
        <f>IF(BT67="Ⅱロなし",ROUNDDOWN(L67*VLOOKUP(K67,【参考】数式用!$A$4:$J$42,8,FALSE)*AA67,0),"")</f>
        <v/>
      </c>
    </row>
    <row r="68" spans="1:74" ht="109.9" customHeight="1" thickBot="1">
      <c r="A68" s="303">
        <v>55</v>
      </c>
      <c r="B68" s="956" t="str">
        <f>IF(基本情報入力シート!B90="","",基本情報入力シート!B90)</f>
        <v/>
      </c>
      <c r="C68" s="957"/>
      <c r="D68" s="957"/>
      <c r="E68" s="957"/>
      <c r="F68" s="958"/>
      <c r="G68" s="304" t="str">
        <f>IF(基本情報入力シート!L90="", "", 基本情報入力シート!L90)</f>
        <v/>
      </c>
      <c r="H68" s="304" t="str">
        <f>IF(基本情報入力シート!Q90="", "", 基本情報入力シート!Q90)</f>
        <v/>
      </c>
      <c r="I68" s="304" t="str">
        <f>IF(基本情報入力シート!V90="", "", 基本情報入力シート!V90)</f>
        <v/>
      </c>
      <c r="J68" s="304" t="str">
        <f>IF(基本情報入力シート!W90="", "", 基本情報入力シート!W90)</f>
        <v/>
      </c>
      <c r="K68" s="304" t="str">
        <f>IF(基本情報入力シート!Z90="", "", 基本情報入力シート!Z90)</f>
        <v/>
      </c>
      <c r="L68" s="558" t="str">
        <f>IF(基本情報入力シート!AF90=0, "",基本情報入力シート!AF90)</f>
        <v/>
      </c>
      <c r="M68" s="524" t="str">
        <f>IF('別紙様式2-2（個票（４、５月））'!M68="","",'別紙様式2-2（個票（４、５月））'!M68)</f>
        <v/>
      </c>
      <c r="N68" s="523" t="str">
        <f>IF('別紙様式2-2（個票（４、５月））'!N68="","",'別紙様式2-2（個票（４、５月））'!N68)</f>
        <v/>
      </c>
      <c r="O68" s="286"/>
      <c r="P68" s="555" t="str">
        <f>IFERROR(VLOOKUP(K68,【参考】数式用!$A$2:$M$57,MATCH(O68,【参考】数式用!$G$3:$M$3,0)+6,0),"")</f>
        <v/>
      </c>
      <c r="Q68" s="310" t="s">
        <v>118</v>
      </c>
      <c r="R68" s="308"/>
      <c r="S68" s="309" t="s">
        <v>183</v>
      </c>
      <c r="T68" s="308"/>
      <c r="U68" s="309" t="s">
        <v>184</v>
      </c>
      <c r="V68" s="308"/>
      <c r="W68" s="309" t="s">
        <v>183</v>
      </c>
      <c r="X68" s="308"/>
      <c r="Y68" s="309" t="s">
        <v>185</v>
      </c>
      <c r="Z68" s="309" t="s">
        <v>186</v>
      </c>
      <c r="AA68" s="309" t="str">
        <f t="shared" si="29"/>
        <v/>
      </c>
      <c r="AB68" s="305" t="s">
        <v>187</v>
      </c>
      <c r="AC68" s="306" t="str">
        <f t="shared" si="10"/>
        <v/>
      </c>
      <c r="AD68" s="515" t="str">
        <f t="shared" si="11"/>
        <v/>
      </c>
      <c r="AE68" s="307" t="str">
        <f>IFERROR(ROUNDDOWN(ROUNDDOWN(ROUND(L68*VLOOKUP(K68,【参考】数式用!$A$2:$M$57,MATCH("処遇改善加算Ⅳ",【参考】数式用!$G$3:$M$3,0)+6,0),0),0)*AA68*0.5,0), "")</f>
        <v/>
      </c>
      <c r="AF68" s="318"/>
      <c r="AG68" s="319"/>
      <c r="AH68" s="319"/>
      <c r="AI68" s="318"/>
      <c r="AJ68" s="320"/>
      <c r="AK68" s="326"/>
      <c r="AL68" s="324" t="str">
        <f t="shared" si="31"/>
        <v/>
      </c>
      <c r="AM68" s="325" t="str">
        <f t="shared" si="12"/>
        <v/>
      </c>
      <c r="AN68" s="255"/>
      <c r="AO68" s="557" t="str">
        <f>IFERROR(VLOOKUP(K68,【参考】数式用!$A$2:$N$57,14,FALSE),"")</f>
        <v/>
      </c>
      <c r="AP68" s="557" t="str">
        <f t="shared" si="13"/>
        <v/>
      </c>
      <c r="AQ68" s="561" t="str">
        <f t="shared" si="32"/>
        <v/>
      </c>
      <c r="AR68" s="561" t="str">
        <f t="shared" si="30"/>
        <v>キャリアパス要件Ⅰ・Ⅱ_</v>
      </c>
      <c r="AS68" s="540" t="str">
        <f t="shared" si="33"/>
        <v>入力済</v>
      </c>
      <c r="AT68" s="557" t="str">
        <f t="shared" si="14"/>
        <v/>
      </c>
      <c r="AU68" s="540" t="str">
        <f t="shared" si="34"/>
        <v>入力済</v>
      </c>
      <c r="AV68" s="540" t="str">
        <f t="shared" si="35"/>
        <v/>
      </c>
      <c r="AW68" s="576" t="str">
        <f t="shared" si="15"/>
        <v/>
      </c>
      <c r="AX68" s="557" t="str">
        <f t="shared" si="36"/>
        <v/>
      </c>
      <c r="AY68" s="540" t="str">
        <f>IFERROR(VLOOKUP(K68,【参考】数式用!$AR$3:$AS$49, 2, FALSE), "")</f>
        <v/>
      </c>
      <c r="AZ68" s="557" t="str">
        <f t="shared" si="16"/>
        <v/>
      </c>
      <c r="BA68" s="560" t="str">
        <f t="shared" si="37"/>
        <v>入力済</v>
      </c>
      <c r="BB68" s="540" t="str">
        <f>IFERROR(VLOOKUP(K68,【参考】数式用!$AX$3:$AY$59, 2, FALSE), "")</f>
        <v/>
      </c>
      <c r="BC68" s="557" t="str">
        <f t="shared" si="17"/>
        <v/>
      </c>
      <c r="BD68" s="560" t="str">
        <f t="shared" si="38"/>
        <v>入力済</v>
      </c>
      <c r="BE68" s="560" t="str">
        <f t="shared" si="18"/>
        <v/>
      </c>
      <c r="BF68" s="560" t="str">
        <f t="shared" si="19"/>
        <v/>
      </c>
      <c r="BG68" s="560" t="str">
        <f t="shared" si="20"/>
        <v/>
      </c>
      <c r="BH68" s="560" t="str">
        <f t="shared" si="39"/>
        <v/>
      </c>
      <c r="BI68" s="560" t="str">
        <f t="shared" si="40"/>
        <v/>
      </c>
      <c r="BK68" s="27"/>
      <c r="BL68" s="607" t="str">
        <f t="shared" si="21"/>
        <v/>
      </c>
      <c r="BM68" s="607" t="str">
        <f t="shared" si="22"/>
        <v/>
      </c>
      <c r="BN68" s="607" t="str">
        <f t="shared" si="23"/>
        <v/>
      </c>
      <c r="BO68" s="608" t="str">
        <f>IF(BM68="","",ROUNDDOWN(L68*VLOOKUP(K68,【参考】数式用!$A$4:$J$42,10,FALSE)*AA68,0))</f>
        <v/>
      </c>
      <c r="BP68" s="607" t="str">
        <f t="shared" si="24"/>
        <v/>
      </c>
      <c r="BQ68" s="607" t="str">
        <f t="shared" si="25"/>
        <v/>
      </c>
      <c r="BR68" s="609" t="str">
        <f t="shared" si="26"/>
        <v/>
      </c>
      <c r="BS68" s="609" t="str">
        <f t="shared" si="27"/>
        <v/>
      </c>
      <c r="BT68" s="607" t="str">
        <f t="shared" si="28"/>
        <v/>
      </c>
      <c r="BU68" s="608" t="str">
        <f>IF(BT68="Ⅱロ有り",ROUNDDOWN(L68*VLOOKUP(K68,【参考】数式用!$A$4:$J$42,10,FALSE)*AA68,0),"")</f>
        <v/>
      </c>
      <c r="BV68" s="607" t="str">
        <f>IF(BT68="Ⅱロなし",ROUNDDOWN(L68*VLOOKUP(K68,【参考】数式用!$A$4:$J$42,8,FALSE)*AA68,0),"")</f>
        <v/>
      </c>
    </row>
    <row r="69" spans="1:74" ht="109.9" customHeight="1" thickBot="1">
      <c r="A69" s="303">
        <v>56</v>
      </c>
      <c r="B69" s="956" t="str">
        <f>IF(基本情報入力シート!B91="","",基本情報入力シート!B91)</f>
        <v/>
      </c>
      <c r="C69" s="957"/>
      <c r="D69" s="957"/>
      <c r="E69" s="957"/>
      <c r="F69" s="958"/>
      <c r="G69" s="304" t="str">
        <f>IF(基本情報入力シート!L91="", "", 基本情報入力シート!L91)</f>
        <v/>
      </c>
      <c r="H69" s="304" t="str">
        <f>IF(基本情報入力シート!Q91="", "", 基本情報入力シート!Q91)</f>
        <v/>
      </c>
      <c r="I69" s="304" t="str">
        <f>IF(基本情報入力シート!V91="", "", 基本情報入力シート!V91)</f>
        <v/>
      </c>
      <c r="J69" s="304" t="str">
        <f>IF(基本情報入力シート!W91="", "", 基本情報入力シート!W91)</f>
        <v/>
      </c>
      <c r="K69" s="304" t="str">
        <f>IF(基本情報入力シート!Z91="", "", 基本情報入力シート!Z91)</f>
        <v/>
      </c>
      <c r="L69" s="558" t="str">
        <f>IF(基本情報入力シート!AF91=0, "",基本情報入力シート!AF91)</f>
        <v/>
      </c>
      <c r="M69" s="524" t="str">
        <f>IF('別紙様式2-2（個票（４、５月））'!M69="","",'別紙様式2-2（個票（４、５月））'!M69)</f>
        <v/>
      </c>
      <c r="N69" s="523" t="str">
        <f>IF('別紙様式2-2（個票（４、５月））'!N69="","",'別紙様式2-2（個票（４、５月））'!N69)</f>
        <v/>
      </c>
      <c r="O69" s="286"/>
      <c r="P69" s="555" t="str">
        <f>IFERROR(VLOOKUP(K69,【参考】数式用!$A$2:$M$57,MATCH(O69,【参考】数式用!$G$3:$M$3,0)+6,0),"")</f>
        <v/>
      </c>
      <c r="Q69" s="310" t="s">
        <v>118</v>
      </c>
      <c r="R69" s="308"/>
      <c r="S69" s="309" t="s">
        <v>183</v>
      </c>
      <c r="T69" s="308"/>
      <c r="U69" s="309" t="s">
        <v>184</v>
      </c>
      <c r="V69" s="308"/>
      <c r="W69" s="309" t="s">
        <v>183</v>
      </c>
      <c r="X69" s="308"/>
      <c r="Y69" s="309" t="s">
        <v>185</v>
      </c>
      <c r="Z69" s="309" t="s">
        <v>186</v>
      </c>
      <c r="AA69" s="309" t="str">
        <f t="shared" si="29"/>
        <v/>
      </c>
      <c r="AB69" s="305" t="s">
        <v>187</v>
      </c>
      <c r="AC69" s="306" t="str">
        <f t="shared" si="10"/>
        <v/>
      </c>
      <c r="AD69" s="515" t="str">
        <f t="shared" si="11"/>
        <v/>
      </c>
      <c r="AE69" s="307" t="str">
        <f>IFERROR(ROUNDDOWN(ROUNDDOWN(ROUND(L69*VLOOKUP(K69,【参考】数式用!$A$2:$M$57,MATCH("処遇改善加算Ⅳ",【参考】数式用!$G$3:$M$3,0)+6,0),0),0)*AA69*0.5,0), "")</f>
        <v/>
      </c>
      <c r="AF69" s="318"/>
      <c r="AG69" s="319"/>
      <c r="AH69" s="319"/>
      <c r="AI69" s="318"/>
      <c r="AJ69" s="320"/>
      <c r="AK69" s="326"/>
      <c r="AL69" s="324" t="str">
        <f t="shared" si="31"/>
        <v/>
      </c>
      <c r="AM69" s="325" t="str">
        <f t="shared" si="12"/>
        <v/>
      </c>
      <c r="AN69" s="255"/>
      <c r="AO69" s="557" t="str">
        <f>IFERROR(VLOOKUP(K69,【参考】数式用!$A$2:$N$57,14,FALSE),"")</f>
        <v/>
      </c>
      <c r="AP69" s="557" t="str">
        <f t="shared" si="13"/>
        <v/>
      </c>
      <c r="AQ69" s="561" t="str">
        <f t="shared" si="32"/>
        <v/>
      </c>
      <c r="AR69" s="561" t="str">
        <f t="shared" si="30"/>
        <v>キャリアパス要件Ⅰ・Ⅱ_</v>
      </c>
      <c r="AS69" s="540" t="str">
        <f t="shared" si="33"/>
        <v>入力済</v>
      </c>
      <c r="AT69" s="557" t="str">
        <f t="shared" si="14"/>
        <v/>
      </c>
      <c r="AU69" s="540" t="str">
        <f t="shared" si="34"/>
        <v>入力済</v>
      </c>
      <c r="AV69" s="540" t="str">
        <f t="shared" si="35"/>
        <v/>
      </c>
      <c r="AW69" s="576" t="str">
        <f t="shared" si="15"/>
        <v/>
      </c>
      <c r="AX69" s="557" t="str">
        <f t="shared" si="36"/>
        <v/>
      </c>
      <c r="AY69" s="540" t="str">
        <f>IFERROR(VLOOKUP(K69,【参考】数式用!$AR$3:$AS$49, 2, FALSE), "")</f>
        <v/>
      </c>
      <c r="AZ69" s="557" t="str">
        <f t="shared" si="16"/>
        <v/>
      </c>
      <c r="BA69" s="560" t="str">
        <f t="shared" si="37"/>
        <v>入力済</v>
      </c>
      <c r="BB69" s="540" t="str">
        <f>IFERROR(VLOOKUP(K69,【参考】数式用!$AX$3:$AY$59, 2, FALSE), "")</f>
        <v/>
      </c>
      <c r="BC69" s="557" t="str">
        <f t="shared" si="17"/>
        <v/>
      </c>
      <c r="BD69" s="560" t="str">
        <f t="shared" si="38"/>
        <v>入力済</v>
      </c>
      <c r="BE69" s="560" t="str">
        <f t="shared" si="18"/>
        <v/>
      </c>
      <c r="BF69" s="560" t="str">
        <f t="shared" si="19"/>
        <v/>
      </c>
      <c r="BG69" s="560" t="str">
        <f t="shared" si="20"/>
        <v/>
      </c>
      <c r="BH69" s="560" t="str">
        <f t="shared" si="39"/>
        <v/>
      </c>
      <c r="BI69" s="560" t="str">
        <f t="shared" si="40"/>
        <v/>
      </c>
      <c r="BK69" s="27"/>
      <c r="BL69" s="607" t="str">
        <f t="shared" si="21"/>
        <v/>
      </c>
      <c r="BM69" s="607" t="str">
        <f t="shared" si="22"/>
        <v/>
      </c>
      <c r="BN69" s="607" t="str">
        <f t="shared" si="23"/>
        <v/>
      </c>
      <c r="BO69" s="608" t="str">
        <f>IF(BM69="","",ROUNDDOWN(L69*VLOOKUP(K69,【参考】数式用!$A$4:$J$42,10,FALSE)*AA69,0))</f>
        <v/>
      </c>
      <c r="BP69" s="607" t="str">
        <f t="shared" si="24"/>
        <v/>
      </c>
      <c r="BQ69" s="607" t="str">
        <f t="shared" si="25"/>
        <v/>
      </c>
      <c r="BR69" s="609" t="str">
        <f t="shared" si="26"/>
        <v/>
      </c>
      <c r="BS69" s="609" t="str">
        <f t="shared" si="27"/>
        <v/>
      </c>
      <c r="BT69" s="607" t="str">
        <f t="shared" si="28"/>
        <v/>
      </c>
      <c r="BU69" s="608" t="str">
        <f>IF(BT69="Ⅱロ有り",ROUNDDOWN(L69*VLOOKUP(K69,【参考】数式用!$A$4:$J$42,10,FALSE)*AA69,0),"")</f>
        <v/>
      </c>
      <c r="BV69" s="607" t="str">
        <f>IF(BT69="Ⅱロなし",ROUNDDOWN(L69*VLOOKUP(K69,【参考】数式用!$A$4:$J$42,8,FALSE)*AA69,0),"")</f>
        <v/>
      </c>
    </row>
    <row r="70" spans="1:74" ht="109.9" customHeight="1" thickBot="1">
      <c r="A70" s="303">
        <v>57</v>
      </c>
      <c r="B70" s="956" t="str">
        <f>IF(基本情報入力シート!B92="","",基本情報入力シート!B92)</f>
        <v/>
      </c>
      <c r="C70" s="957"/>
      <c r="D70" s="957"/>
      <c r="E70" s="957"/>
      <c r="F70" s="958"/>
      <c r="G70" s="304" t="str">
        <f>IF(基本情報入力シート!L92="", "", 基本情報入力シート!L92)</f>
        <v/>
      </c>
      <c r="H70" s="304" t="str">
        <f>IF(基本情報入力シート!Q92="", "", 基本情報入力シート!Q92)</f>
        <v/>
      </c>
      <c r="I70" s="304" t="str">
        <f>IF(基本情報入力シート!V92="", "", 基本情報入力シート!V92)</f>
        <v/>
      </c>
      <c r="J70" s="304" t="str">
        <f>IF(基本情報入力シート!W92="", "", 基本情報入力シート!W92)</f>
        <v/>
      </c>
      <c r="K70" s="304" t="str">
        <f>IF(基本情報入力シート!Z92="", "", 基本情報入力シート!Z92)</f>
        <v/>
      </c>
      <c r="L70" s="558" t="str">
        <f>IF(基本情報入力シート!AF92=0, "",基本情報入力シート!AF92)</f>
        <v/>
      </c>
      <c r="M70" s="524" t="str">
        <f>IF('別紙様式2-2（個票（４、５月））'!M70="","",'別紙様式2-2（個票（４、５月））'!M70)</f>
        <v/>
      </c>
      <c r="N70" s="523" t="str">
        <f>IF('別紙様式2-2（個票（４、５月））'!N70="","",'別紙様式2-2（個票（４、５月））'!N70)</f>
        <v/>
      </c>
      <c r="O70" s="286"/>
      <c r="P70" s="555" t="str">
        <f>IFERROR(VLOOKUP(K70,【参考】数式用!$A$2:$M$57,MATCH(O70,【参考】数式用!$G$3:$M$3,0)+6,0),"")</f>
        <v/>
      </c>
      <c r="Q70" s="310" t="s">
        <v>118</v>
      </c>
      <c r="R70" s="308"/>
      <c r="S70" s="309" t="s">
        <v>183</v>
      </c>
      <c r="T70" s="308"/>
      <c r="U70" s="309" t="s">
        <v>184</v>
      </c>
      <c r="V70" s="308"/>
      <c r="W70" s="309" t="s">
        <v>183</v>
      </c>
      <c r="X70" s="308"/>
      <c r="Y70" s="309" t="s">
        <v>185</v>
      </c>
      <c r="Z70" s="309" t="s">
        <v>186</v>
      </c>
      <c r="AA70" s="309" t="str">
        <f t="shared" si="29"/>
        <v/>
      </c>
      <c r="AB70" s="305" t="s">
        <v>187</v>
      </c>
      <c r="AC70" s="306" t="str">
        <f t="shared" si="10"/>
        <v/>
      </c>
      <c r="AD70" s="515" t="str">
        <f t="shared" si="11"/>
        <v/>
      </c>
      <c r="AE70" s="307" t="str">
        <f>IFERROR(ROUNDDOWN(ROUNDDOWN(ROUND(L70*VLOOKUP(K70,【参考】数式用!$A$2:$M$57,MATCH("処遇改善加算Ⅳ",【参考】数式用!$G$3:$M$3,0)+6,0),0),0)*AA70*0.5,0), "")</f>
        <v/>
      </c>
      <c r="AF70" s="318"/>
      <c r="AG70" s="319"/>
      <c r="AH70" s="319"/>
      <c r="AI70" s="318"/>
      <c r="AJ70" s="320"/>
      <c r="AK70" s="326"/>
      <c r="AL70" s="324" t="str">
        <f t="shared" si="31"/>
        <v/>
      </c>
      <c r="AM70" s="325" t="str">
        <f t="shared" si="12"/>
        <v/>
      </c>
      <c r="AN70" s="255"/>
      <c r="AO70" s="557" t="str">
        <f>IFERROR(VLOOKUP(K70,【参考】数式用!$A$2:$N$57,14,FALSE),"")</f>
        <v/>
      </c>
      <c r="AP70" s="557" t="str">
        <f t="shared" si="13"/>
        <v/>
      </c>
      <c r="AQ70" s="561" t="str">
        <f t="shared" si="32"/>
        <v/>
      </c>
      <c r="AR70" s="561" t="str">
        <f t="shared" si="30"/>
        <v>キャリアパス要件Ⅰ・Ⅱ_</v>
      </c>
      <c r="AS70" s="540" t="str">
        <f t="shared" si="33"/>
        <v>入力済</v>
      </c>
      <c r="AT70" s="557" t="str">
        <f t="shared" si="14"/>
        <v/>
      </c>
      <c r="AU70" s="540" t="str">
        <f t="shared" si="34"/>
        <v>入力済</v>
      </c>
      <c r="AV70" s="540" t="str">
        <f t="shared" si="35"/>
        <v/>
      </c>
      <c r="AW70" s="576" t="str">
        <f t="shared" si="15"/>
        <v/>
      </c>
      <c r="AX70" s="557" t="str">
        <f t="shared" si="36"/>
        <v/>
      </c>
      <c r="AY70" s="540" t="str">
        <f>IFERROR(VLOOKUP(K70,【参考】数式用!$AR$3:$AS$49, 2, FALSE), "")</f>
        <v/>
      </c>
      <c r="AZ70" s="557" t="str">
        <f t="shared" si="16"/>
        <v/>
      </c>
      <c r="BA70" s="560" t="str">
        <f t="shared" si="37"/>
        <v>入力済</v>
      </c>
      <c r="BB70" s="540" t="str">
        <f>IFERROR(VLOOKUP(K70,【参考】数式用!$AX$3:$AY$59, 2, FALSE), "")</f>
        <v/>
      </c>
      <c r="BC70" s="557" t="str">
        <f t="shared" si="17"/>
        <v/>
      </c>
      <c r="BD70" s="560" t="str">
        <f t="shared" si="38"/>
        <v>入力済</v>
      </c>
      <c r="BE70" s="560" t="str">
        <f t="shared" si="18"/>
        <v/>
      </c>
      <c r="BF70" s="560" t="str">
        <f t="shared" si="19"/>
        <v/>
      </c>
      <c r="BG70" s="560" t="str">
        <f t="shared" si="20"/>
        <v/>
      </c>
      <c r="BH70" s="560" t="str">
        <f t="shared" si="39"/>
        <v/>
      </c>
      <c r="BI70" s="560" t="str">
        <f t="shared" si="40"/>
        <v/>
      </c>
      <c r="BK70" s="27"/>
      <c r="BL70" s="607" t="str">
        <f t="shared" si="21"/>
        <v/>
      </c>
      <c r="BM70" s="607" t="str">
        <f t="shared" si="22"/>
        <v/>
      </c>
      <c r="BN70" s="607" t="str">
        <f t="shared" si="23"/>
        <v/>
      </c>
      <c r="BO70" s="608" t="str">
        <f>IF(BM70="","",ROUNDDOWN(L70*VLOOKUP(K70,【参考】数式用!$A$4:$J$42,10,FALSE)*AA70,0))</f>
        <v/>
      </c>
      <c r="BP70" s="607" t="str">
        <f t="shared" si="24"/>
        <v/>
      </c>
      <c r="BQ70" s="607" t="str">
        <f t="shared" si="25"/>
        <v/>
      </c>
      <c r="BR70" s="609" t="str">
        <f t="shared" si="26"/>
        <v/>
      </c>
      <c r="BS70" s="609" t="str">
        <f t="shared" si="27"/>
        <v/>
      </c>
      <c r="BT70" s="607" t="str">
        <f t="shared" si="28"/>
        <v/>
      </c>
      <c r="BU70" s="608" t="str">
        <f>IF(BT70="Ⅱロ有り",ROUNDDOWN(L70*VLOOKUP(K70,【参考】数式用!$A$4:$J$42,10,FALSE)*AA70,0),"")</f>
        <v/>
      </c>
      <c r="BV70" s="607" t="str">
        <f>IF(BT70="Ⅱロなし",ROUNDDOWN(L70*VLOOKUP(K70,【参考】数式用!$A$4:$J$42,8,FALSE)*AA70,0),"")</f>
        <v/>
      </c>
    </row>
    <row r="71" spans="1:74" ht="109.9" customHeight="1" thickBot="1">
      <c r="A71" s="303">
        <v>58</v>
      </c>
      <c r="B71" s="956" t="str">
        <f>IF(基本情報入力シート!B93="","",基本情報入力シート!B93)</f>
        <v/>
      </c>
      <c r="C71" s="957"/>
      <c r="D71" s="957"/>
      <c r="E71" s="957"/>
      <c r="F71" s="958"/>
      <c r="G71" s="304" t="str">
        <f>IF(基本情報入力シート!L93="", "", 基本情報入力シート!L93)</f>
        <v/>
      </c>
      <c r="H71" s="304" t="str">
        <f>IF(基本情報入力シート!Q93="", "", 基本情報入力シート!Q93)</f>
        <v/>
      </c>
      <c r="I71" s="304" t="str">
        <f>IF(基本情報入力シート!V93="", "", 基本情報入力シート!V93)</f>
        <v/>
      </c>
      <c r="J71" s="304" t="str">
        <f>IF(基本情報入力シート!W93="", "", 基本情報入力シート!W93)</f>
        <v/>
      </c>
      <c r="K71" s="304" t="str">
        <f>IF(基本情報入力シート!Z93="", "", 基本情報入力シート!Z93)</f>
        <v/>
      </c>
      <c r="L71" s="558" t="str">
        <f>IF(基本情報入力シート!AF93=0, "",基本情報入力シート!AF93)</f>
        <v/>
      </c>
      <c r="M71" s="524" t="str">
        <f>IF('別紙様式2-2（個票（４、５月））'!M71="","",'別紙様式2-2（個票（４、５月））'!M71)</f>
        <v/>
      </c>
      <c r="N71" s="523" t="str">
        <f>IF('別紙様式2-2（個票（４、５月））'!N71="","",'別紙様式2-2（個票（４、５月））'!N71)</f>
        <v/>
      </c>
      <c r="O71" s="286"/>
      <c r="P71" s="555" t="str">
        <f>IFERROR(VLOOKUP(K71,【参考】数式用!$A$2:$M$57,MATCH(O71,【参考】数式用!$G$3:$M$3,0)+6,0),"")</f>
        <v/>
      </c>
      <c r="Q71" s="310" t="s">
        <v>118</v>
      </c>
      <c r="R71" s="308"/>
      <c r="S71" s="309" t="s">
        <v>183</v>
      </c>
      <c r="T71" s="308"/>
      <c r="U71" s="309" t="s">
        <v>184</v>
      </c>
      <c r="V71" s="308"/>
      <c r="W71" s="309" t="s">
        <v>183</v>
      </c>
      <c r="X71" s="308"/>
      <c r="Y71" s="309" t="s">
        <v>120</v>
      </c>
      <c r="Z71" s="309" t="s">
        <v>186</v>
      </c>
      <c r="AA71" s="309" t="str">
        <f t="shared" si="29"/>
        <v/>
      </c>
      <c r="AB71" s="305" t="s">
        <v>187</v>
      </c>
      <c r="AC71" s="306" t="str">
        <f t="shared" si="10"/>
        <v/>
      </c>
      <c r="AD71" s="515" t="str">
        <f t="shared" si="11"/>
        <v/>
      </c>
      <c r="AE71" s="307" t="str">
        <f>IFERROR(ROUNDDOWN(ROUNDDOWN(ROUND(L71*VLOOKUP(K71,【参考】数式用!$A$2:$M$57,MATCH("処遇改善加算Ⅳ",【参考】数式用!$G$3:$M$3,0)+6,0),0),0)*AA71*0.5,0), "")</f>
        <v/>
      </c>
      <c r="AF71" s="318"/>
      <c r="AG71" s="319"/>
      <c r="AH71" s="319"/>
      <c r="AI71" s="318"/>
      <c r="AJ71" s="320"/>
      <c r="AK71" s="326"/>
      <c r="AL71" s="324" t="str">
        <f t="shared" si="31"/>
        <v/>
      </c>
      <c r="AM71" s="325" t="str">
        <f t="shared" si="12"/>
        <v/>
      </c>
      <c r="AN71" s="255"/>
      <c r="AO71" s="557" t="str">
        <f>IFERROR(VLOOKUP(K71,【参考】数式用!$A$2:$N$57,14,FALSE),"")</f>
        <v/>
      </c>
      <c r="AP71" s="557" t="str">
        <f t="shared" si="13"/>
        <v/>
      </c>
      <c r="AQ71" s="561" t="str">
        <f t="shared" si="32"/>
        <v/>
      </c>
      <c r="AR71" s="561" t="str">
        <f t="shared" si="30"/>
        <v>キャリアパス要件Ⅰ・Ⅱ_</v>
      </c>
      <c r="AS71" s="540" t="str">
        <f t="shared" si="33"/>
        <v>入力済</v>
      </c>
      <c r="AT71" s="557" t="str">
        <f t="shared" si="14"/>
        <v/>
      </c>
      <c r="AU71" s="540" t="str">
        <f t="shared" si="34"/>
        <v>入力済</v>
      </c>
      <c r="AV71" s="540" t="str">
        <f t="shared" si="35"/>
        <v/>
      </c>
      <c r="AW71" s="576" t="str">
        <f t="shared" si="15"/>
        <v/>
      </c>
      <c r="AX71" s="557" t="str">
        <f t="shared" si="36"/>
        <v/>
      </c>
      <c r="AY71" s="540" t="str">
        <f>IFERROR(VLOOKUP(K71,【参考】数式用!$AR$3:$AS$49, 2, FALSE), "")</f>
        <v/>
      </c>
      <c r="AZ71" s="557" t="str">
        <f t="shared" si="16"/>
        <v/>
      </c>
      <c r="BA71" s="560" t="str">
        <f t="shared" si="37"/>
        <v>入力済</v>
      </c>
      <c r="BB71" s="540" t="str">
        <f>IFERROR(VLOOKUP(K71,【参考】数式用!$AX$3:$AY$59, 2, FALSE), "")</f>
        <v/>
      </c>
      <c r="BC71" s="557" t="str">
        <f t="shared" si="17"/>
        <v/>
      </c>
      <c r="BD71" s="560" t="str">
        <f t="shared" si="38"/>
        <v>入力済</v>
      </c>
      <c r="BE71" s="560" t="str">
        <f t="shared" si="18"/>
        <v/>
      </c>
      <c r="BF71" s="560" t="str">
        <f t="shared" si="19"/>
        <v/>
      </c>
      <c r="BG71" s="560" t="str">
        <f t="shared" si="20"/>
        <v/>
      </c>
      <c r="BH71" s="560" t="str">
        <f t="shared" si="39"/>
        <v/>
      </c>
      <c r="BI71" s="560" t="str">
        <f t="shared" si="40"/>
        <v/>
      </c>
      <c r="BK71" s="27"/>
      <c r="BL71" s="607" t="str">
        <f t="shared" si="21"/>
        <v/>
      </c>
      <c r="BM71" s="607" t="str">
        <f t="shared" si="22"/>
        <v/>
      </c>
      <c r="BN71" s="607" t="str">
        <f t="shared" si="23"/>
        <v/>
      </c>
      <c r="BO71" s="608" t="str">
        <f>IF(BM71="","",ROUNDDOWN(L71*VLOOKUP(K71,【参考】数式用!$A$4:$J$42,10,FALSE)*AA71,0))</f>
        <v/>
      </c>
      <c r="BP71" s="607" t="str">
        <f t="shared" si="24"/>
        <v/>
      </c>
      <c r="BQ71" s="607" t="str">
        <f t="shared" si="25"/>
        <v/>
      </c>
      <c r="BR71" s="609" t="str">
        <f t="shared" si="26"/>
        <v/>
      </c>
      <c r="BS71" s="609" t="str">
        <f t="shared" si="27"/>
        <v/>
      </c>
      <c r="BT71" s="607" t="str">
        <f t="shared" si="28"/>
        <v/>
      </c>
      <c r="BU71" s="608" t="str">
        <f>IF(BT71="Ⅱロ有り",ROUNDDOWN(L71*VLOOKUP(K71,【参考】数式用!$A$4:$J$42,10,FALSE)*AA71,0),"")</f>
        <v/>
      </c>
      <c r="BV71" s="607" t="str">
        <f>IF(BT71="Ⅱロなし",ROUNDDOWN(L71*VLOOKUP(K71,【参考】数式用!$A$4:$J$42,8,FALSE)*AA71,0),"")</f>
        <v/>
      </c>
    </row>
    <row r="72" spans="1:74" ht="109.9" customHeight="1" thickBot="1">
      <c r="A72" s="303">
        <v>59</v>
      </c>
      <c r="B72" s="956" t="str">
        <f>IF(基本情報入力シート!B94="","",基本情報入力シート!B94)</f>
        <v/>
      </c>
      <c r="C72" s="957"/>
      <c r="D72" s="957"/>
      <c r="E72" s="957"/>
      <c r="F72" s="958"/>
      <c r="G72" s="304" t="str">
        <f>IF(基本情報入力シート!L94="", "", 基本情報入力シート!L94)</f>
        <v/>
      </c>
      <c r="H72" s="304" t="str">
        <f>IF(基本情報入力シート!Q94="", "", 基本情報入力シート!Q94)</f>
        <v/>
      </c>
      <c r="I72" s="304" t="str">
        <f>IF(基本情報入力シート!V94="", "", 基本情報入力シート!V94)</f>
        <v/>
      </c>
      <c r="J72" s="304" t="str">
        <f>IF(基本情報入力シート!W94="", "", 基本情報入力シート!W94)</f>
        <v/>
      </c>
      <c r="K72" s="304" t="str">
        <f>IF(基本情報入力シート!Z94="", "", 基本情報入力シート!Z94)</f>
        <v/>
      </c>
      <c r="L72" s="558" t="str">
        <f>IF(基本情報入力シート!AF94=0, "",基本情報入力シート!AF94)</f>
        <v/>
      </c>
      <c r="M72" s="524" t="str">
        <f>IF('別紙様式2-2（個票（４、５月））'!M72="","",'別紙様式2-2（個票（４、５月））'!M72)</f>
        <v/>
      </c>
      <c r="N72" s="523" t="str">
        <f>IF('別紙様式2-2（個票（４、５月））'!N72="","",'別紙様式2-2（個票（４、５月））'!N72)</f>
        <v/>
      </c>
      <c r="O72" s="286"/>
      <c r="P72" s="555" t="str">
        <f>IFERROR(VLOOKUP(K72,【参考】数式用!$A$2:$M$57,MATCH(O72,【参考】数式用!$G$3:$M$3,0)+6,0),"")</f>
        <v/>
      </c>
      <c r="Q72" s="310" t="s">
        <v>118</v>
      </c>
      <c r="R72" s="308"/>
      <c r="S72" s="309" t="s">
        <v>183</v>
      </c>
      <c r="T72" s="308"/>
      <c r="U72" s="309" t="s">
        <v>184</v>
      </c>
      <c r="V72" s="308"/>
      <c r="W72" s="309" t="s">
        <v>183</v>
      </c>
      <c r="X72" s="308"/>
      <c r="Y72" s="309" t="s">
        <v>120</v>
      </c>
      <c r="Z72" s="309" t="s">
        <v>186</v>
      </c>
      <c r="AA72" s="309" t="str">
        <f t="shared" si="29"/>
        <v/>
      </c>
      <c r="AB72" s="305" t="s">
        <v>187</v>
      </c>
      <c r="AC72" s="306" t="str">
        <f t="shared" si="10"/>
        <v/>
      </c>
      <c r="AD72" s="515" t="str">
        <f t="shared" si="11"/>
        <v/>
      </c>
      <c r="AE72" s="307" t="str">
        <f>IFERROR(ROUNDDOWN(ROUNDDOWN(ROUND(L72*VLOOKUP(K72,【参考】数式用!$A$2:$M$57,MATCH("処遇改善加算Ⅳ",【参考】数式用!$G$3:$M$3,0)+6,0),0),0)*AA72*0.5,0), "")</f>
        <v/>
      </c>
      <c r="AF72" s="318"/>
      <c r="AG72" s="319"/>
      <c r="AH72" s="319"/>
      <c r="AI72" s="318"/>
      <c r="AJ72" s="320"/>
      <c r="AK72" s="326"/>
      <c r="AL72" s="324" t="str">
        <f t="shared" si="31"/>
        <v/>
      </c>
      <c r="AM72" s="325" t="str">
        <f t="shared" si="12"/>
        <v/>
      </c>
      <c r="AN72" s="255"/>
      <c r="AO72" s="557" t="str">
        <f>IFERROR(VLOOKUP(K72,【参考】数式用!$A$2:$N$57,14,FALSE),"")</f>
        <v/>
      </c>
      <c r="AP72" s="557" t="str">
        <f t="shared" si="13"/>
        <v/>
      </c>
      <c r="AQ72" s="561" t="str">
        <f t="shared" si="32"/>
        <v/>
      </c>
      <c r="AR72" s="561" t="str">
        <f t="shared" si="30"/>
        <v>キャリアパス要件Ⅰ・Ⅱ_</v>
      </c>
      <c r="AS72" s="540" t="str">
        <f t="shared" si="33"/>
        <v>入力済</v>
      </c>
      <c r="AT72" s="557" t="str">
        <f t="shared" si="14"/>
        <v/>
      </c>
      <c r="AU72" s="540" t="str">
        <f t="shared" si="34"/>
        <v>入力済</v>
      </c>
      <c r="AV72" s="540" t="str">
        <f t="shared" si="35"/>
        <v/>
      </c>
      <c r="AW72" s="576" t="str">
        <f t="shared" si="15"/>
        <v/>
      </c>
      <c r="AX72" s="557" t="str">
        <f t="shared" si="36"/>
        <v/>
      </c>
      <c r="AY72" s="540" t="str">
        <f>IFERROR(VLOOKUP(K72,【参考】数式用!$AR$3:$AS$49, 2, FALSE), "")</f>
        <v/>
      </c>
      <c r="AZ72" s="557" t="str">
        <f t="shared" si="16"/>
        <v/>
      </c>
      <c r="BA72" s="560" t="str">
        <f t="shared" si="37"/>
        <v>入力済</v>
      </c>
      <c r="BB72" s="540" t="str">
        <f>IFERROR(VLOOKUP(K72,【参考】数式用!$AX$3:$AY$59, 2, FALSE), "")</f>
        <v/>
      </c>
      <c r="BC72" s="557" t="str">
        <f t="shared" si="17"/>
        <v/>
      </c>
      <c r="BD72" s="560" t="str">
        <f t="shared" si="38"/>
        <v>入力済</v>
      </c>
      <c r="BE72" s="560" t="str">
        <f t="shared" si="18"/>
        <v/>
      </c>
      <c r="BF72" s="560" t="str">
        <f t="shared" si="19"/>
        <v/>
      </c>
      <c r="BG72" s="560" t="str">
        <f t="shared" si="20"/>
        <v/>
      </c>
      <c r="BH72" s="560" t="str">
        <f t="shared" si="39"/>
        <v/>
      </c>
      <c r="BI72" s="560" t="str">
        <f t="shared" si="40"/>
        <v/>
      </c>
      <c r="BK72" s="27"/>
      <c r="BL72" s="607" t="str">
        <f t="shared" si="21"/>
        <v/>
      </c>
      <c r="BM72" s="607" t="str">
        <f t="shared" si="22"/>
        <v/>
      </c>
      <c r="BN72" s="607" t="str">
        <f t="shared" si="23"/>
        <v/>
      </c>
      <c r="BO72" s="608" t="str">
        <f>IF(BM72="","",ROUNDDOWN(L72*VLOOKUP(K72,【参考】数式用!$A$4:$J$42,10,FALSE)*AA72,0))</f>
        <v/>
      </c>
      <c r="BP72" s="607" t="str">
        <f t="shared" si="24"/>
        <v/>
      </c>
      <c r="BQ72" s="607" t="str">
        <f t="shared" si="25"/>
        <v/>
      </c>
      <c r="BR72" s="609" t="str">
        <f t="shared" si="26"/>
        <v/>
      </c>
      <c r="BS72" s="609" t="str">
        <f t="shared" si="27"/>
        <v/>
      </c>
      <c r="BT72" s="607" t="str">
        <f t="shared" si="28"/>
        <v/>
      </c>
      <c r="BU72" s="608" t="str">
        <f>IF(BT72="Ⅱロ有り",ROUNDDOWN(L72*VLOOKUP(K72,【参考】数式用!$A$4:$J$42,10,FALSE)*AA72,0),"")</f>
        <v/>
      </c>
      <c r="BV72" s="607" t="str">
        <f>IF(BT72="Ⅱロなし",ROUNDDOWN(L72*VLOOKUP(K72,【参考】数式用!$A$4:$J$42,8,FALSE)*AA72,0),"")</f>
        <v/>
      </c>
    </row>
    <row r="73" spans="1:74" ht="109.9" customHeight="1" thickBot="1">
      <c r="A73" s="303">
        <v>60</v>
      </c>
      <c r="B73" s="956" t="str">
        <f>IF(基本情報入力シート!B95="","",基本情報入力シート!B95)</f>
        <v/>
      </c>
      <c r="C73" s="957"/>
      <c r="D73" s="957"/>
      <c r="E73" s="957"/>
      <c r="F73" s="958"/>
      <c r="G73" s="304" t="str">
        <f>IF(基本情報入力シート!L95="", "", 基本情報入力シート!L95)</f>
        <v/>
      </c>
      <c r="H73" s="304" t="str">
        <f>IF(基本情報入力シート!Q95="", "", 基本情報入力シート!Q95)</f>
        <v/>
      </c>
      <c r="I73" s="304" t="str">
        <f>IF(基本情報入力シート!V95="", "", 基本情報入力シート!V95)</f>
        <v/>
      </c>
      <c r="J73" s="304" t="str">
        <f>IF(基本情報入力シート!W95="", "", 基本情報入力シート!W95)</f>
        <v/>
      </c>
      <c r="K73" s="304" t="str">
        <f>IF(基本情報入力シート!Z95="", "", 基本情報入力シート!Z95)</f>
        <v/>
      </c>
      <c r="L73" s="558" t="str">
        <f>IF(基本情報入力シート!AF95=0, "",基本情報入力シート!AF95)</f>
        <v/>
      </c>
      <c r="M73" s="524" t="str">
        <f>IF('別紙様式2-2（個票（４、５月））'!M73="","",'別紙様式2-2（個票（４、５月））'!M73)</f>
        <v/>
      </c>
      <c r="N73" s="523" t="str">
        <f>IF('別紙様式2-2（個票（４、５月））'!N73="","",'別紙様式2-2（個票（４、５月））'!N73)</f>
        <v/>
      </c>
      <c r="O73" s="286"/>
      <c r="P73" s="555" t="str">
        <f>IFERROR(VLOOKUP(K73,【参考】数式用!$A$2:$M$57,MATCH(O73,【参考】数式用!$G$3:$M$3,0)+6,0),"")</f>
        <v/>
      </c>
      <c r="Q73" s="310" t="s">
        <v>118</v>
      </c>
      <c r="R73" s="308"/>
      <c r="S73" s="309" t="s">
        <v>183</v>
      </c>
      <c r="T73" s="308"/>
      <c r="U73" s="309" t="s">
        <v>184</v>
      </c>
      <c r="V73" s="308"/>
      <c r="W73" s="309" t="s">
        <v>183</v>
      </c>
      <c r="X73" s="308"/>
      <c r="Y73" s="309" t="s">
        <v>185</v>
      </c>
      <c r="Z73" s="309" t="s">
        <v>186</v>
      </c>
      <c r="AA73" s="309" t="str">
        <f t="shared" si="29"/>
        <v/>
      </c>
      <c r="AB73" s="305" t="s">
        <v>187</v>
      </c>
      <c r="AC73" s="306" t="str">
        <f t="shared" si="10"/>
        <v/>
      </c>
      <c r="AD73" s="515" t="str">
        <f t="shared" si="11"/>
        <v/>
      </c>
      <c r="AE73" s="307" t="str">
        <f>IFERROR(ROUNDDOWN(ROUNDDOWN(ROUND(L73*VLOOKUP(K73,【参考】数式用!$A$2:$M$57,MATCH("処遇改善加算Ⅳ",【参考】数式用!$G$3:$M$3,0)+6,0),0),0)*AA73*0.5,0), "")</f>
        <v/>
      </c>
      <c r="AF73" s="318"/>
      <c r="AG73" s="319"/>
      <c r="AH73" s="319"/>
      <c r="AI73" s="318"/>
      <c r="AJ73" s="320"/>
      <c r="AK73" s="326"/>
      <c r="AL73" s="324" t="str">
        <f t="shared" si="31"/>
        <v/>
      </c>
      <c r="AM73" s="325" t="str">
        <f t="shared" si="12"/>
        <v/>
      </c>
      <c r="AN73" s="255"/>
      <c r="AO73" s="557" t="str">
        <f>IFERROR(VLOOKUP(K73,【参考】数式用!$A$2:$N$57,14,FALSE),"")</f>
        <v/>
      </c>
      <c r="AP73" s="557" t="str">
        <f t="shared" si="13"/>
        <v/>
      </c>
      <c r="AQ73" s="561" t="str">
        <f t="shared" si="32"/>
        <v/>
      </c>
      <c r="AR73" s="561" t="str">
        <f t="shared" si="30"/>
        <v>キャリアパス要件Ⅰ・Ⅱ_</v>
      </c>
      <c r="AS73" s="540" t="str">
        <f t="shared" si="33"/>
        <v>入力済</v>
      </c>
      <c r="AT73" s="557" t="str">
        <f t="shared" si="14"/>
        <v/>
      </c>
      <c r="AU73" s="540" t="str">
        <f t="shared" si="34"/>
        <v>入力済</v>
      </c>
      <c r="AV73" s="540" t="str">
        <f t="shared" si="35"/>
        <v/>
      </c>
      <c r="AW73" s="576" t="str">
        <f t="shared" si="15"/>
        <v/>
      </c>
      <c r="AX73" s="557" t="str">
        <f t="shared" si="36"/>
        <v/>
      </c>
      <c r="AY73" s="540" t="str">
        <f>IFERROR(VLOOKUP(K73,【参考】数式用!$AR$3:$AS$49, 2, FALSE), "")</f>
        <v/>
      </c>
      <c r="AZ73" s="557" t="str">
        <f t="shared" si="16"/>
        <v/>
      </c>
      <c r="BA73" s="560" t="str">
        <f t="shared" si="37"/>
        <v>入力済</v>
      </c>
      <c r="BB73" s="540" t="str">
        <f>IFERROR(VLOOKUP(K73,【参考】数式用!$AX$3:$AY$59, 2, FALSE), "")</f>
        <v/>
      </c>
      <c r="BC73" s="557" t="str">
        <f t="shared" si="17"/>
        <v/>
      </c>
      <c r="BD73" s="560" t="str">
        <f t="shared" si="38"/>
        <v>入力済</v>
      </c>
      <c r="BE73" s="560" t="str">
        <f t="shared" si="18"/>
        <v/>
      </c>
      <c r="BF73" s="560" t="str">
        <f t="shared" si="19"/>
        <v/>
      </c>
      <c r="BG73" s="560" t="str">
        <f t="shared" si="20"/>
        <v/>
      </c>
      <c r="BH73" s="560" t="str">
        <f t="shared" si="39"/>
        <v/>
      </c>
      <c r="BI73" s="560" t="str">
        <f t="shared" si="40"/>
        <v/>
      </c>
      <c r="BK73" s="27"/>
      <c r="BL73" s="607" t="str">
        <f t="shared" si="21"/>
        <v/>
      </c>
      <c r="BM73" s="607" t="str">
        <f t="shared" si="22"/>
        <v/>
      </c>
      <c r="BN73" s="607" t="str">
        <f t="shared" si="23"/>
        <v/>
      </c>
      <c r="BO73" s="608" t="str">
        <f>IF(BM73="","",ROUNDDOWN(L73*VLOOKUP(K73,【参考】数式用!$A$4:$J$42,10,FALSE)*AA73,0))</f>
        <v/>
      </c>
      <c r="BP73" s="607" t="str">
        <f t="shared" si="24"/>
        <v/>
      </c>
      <c r="BQ73" s="607" t="str">
        <f t="shared" si="25"/>
        <v/>
      </c>
      <c r="BR73" s="609" t="str">
        <f t="shared" si="26"/>
        <v/>
      </c>
      <c r="BS73" s="609" t="str">
        <f t="shared" si="27"/>
        <v/>
      </c>
      <c r="BT73" s="607" t="str">
        <f t="shared" si="28"/>
        <v/>
      </c>
      <c r="BU73" s="608" t="str">
        <f>IF(BT73="Ⅱロ有り",ROUNDDOWN(L73*VLOOKUP(K73,【参考】数式用!$A$4:$J$42,10,FALSE)*AA73,0),"")</f>
        <v/>
      </c>
      <c r="BV73" s="607" t="str">
        <f>IF(BT73="Ⅱロなし",ROUNDDOWN(L73*VLOOKUP(K73,【参考】数式用!$A$4:$J$42,8,FALSE)*AA73,0),"")</f>
        <v/>
      </c>
    </row>
    <row r="74" spans="1:74" ht="109.9" customHeight="1" thickBot="1">
      <c r="A74" s="303">
        <v>61</v>
      </c>
      <c r="B74" s="956" t="str">
        <f>IF(基本情報入力シート!B96="","",基本情報入力シート!B96)</f>
        <v/>
      </c>
      <c r="C74" s="957"/>
      <c r="D74" s="957"/>
      <c r="E74" s="957"/>
      <c r="F74" s="958"/>
      <c r="G74" s="304" t="str">
        <f>IF(基本情報入力シート!L96="", "", 基本情報入力シート!L96)</f>
        <v/>
      </c>
      <c r="H74" s="304" t="str">
        <f>IF(基本情報入力シート!Q96="", "", 基本情報入力シート!Q96)</f>
        <v/>
      </c>
      <c r="I74" s="304" t="str">
        <f>IF(基本情報入力シート!V96="", "", 基本情報入力シート!V96)</f>
        <v/>
      </c>
      <c r="J74" s="304" t="str">
        <f>IF(基本情報入力シート!W96="", "", 基本情報入力シート!W96)</f>
        <v/>
      </c>
      <c r="K74" s="304" t="str">
        <f>IF(基本情報入力シート!Z96="", "", 基本情報入力シート!Z96)</f>
        <v/>
      </c>
      <c r="L74" s="558" t="str">
        <f>IF(基本情報入力シート!AF96=0, "",基本情報入力シート!AF96)</f>
        <v/>
      </c>
      <c r="M74" s="524" t="str">
        <f>IF('別紙様式2-2（個票（４、５月））'!M74="","",'別紙様式2-2（個票（４、５月））'!M74)</f>
        <v/>
      </c>
      <c r="N74" s="523" t="str">
        <f>IF('別紙様式2-2（個票（４、５月））'!N74="","",'別紙様式2-2（個票（４、５月））'!N74)</f>
        <v/>
      </c>
      <c r="O74" s="286"/>
      <c r="P74" s="555" t="str">
        <f>IFERROR(VLOOKUP(K74,【参考】数式用!$A$2:$M$57,MATCH(O74,【参考】数式用!$G$3:$M$3,0)+6,0),"")</f>
        <v/>
      </c>
      <c r="Q74" s="310" t="s">
        <v>118</v>
      </c>
      <c r="R74" s="308"/>
      <c r="S74" s="309" t="s">
        <v>183</v>
      </c>
      <c r="T74" s="308"/>
      <c r="U74" s="309" t="s">
        <v>184</v>
      </c>
      <c r="V74" s="308"/>
      <c r="W74" s="309" t="s">
        <v>183</v>
      </c>
      <c r="X74" s="308"/>
      <c r="Y74" s="309" t="s">
        <v>185</v>
      </c>
      <c r="Z74" s="309" t="s">
        <v>186</v>
      </c>
      <c r="AA74" s="309" t="str">
        <f t="shared" si="29"/>
        <v/>
      </c>
      <c r="AB74" s="305" t="s">
        <v>187</v>
      </c>
      <c r="AC74" s="306" t="str">
        <f t="shared" si="10"/>
        <v/>
      </c>
      <c r="AD74" s="515" t="str">
        <f t="shared" si="11"/>
        <v/>
      </c>
      <c r="AE74" s="307" t="str">
        <f>IFERROR(ROUNDDOWN(ROUNDDOWN(ROUND(L74*VLOOKUP(K74,【参考】数式用!$A$2:$M$57,MATCH("処遇改善加算Ⅳ",【参考】数式用!$G$3:$M$3,0)+6,0),0),0)*AA74*0.5,0), "")</f>
        <v/>
      </c>
      <c r="AF74" s="318"/>
      <c r="AG74" s="319"/>
      <c r="AH74" s="319"/>
      <c r="AI74" s="318"/>
      <c r="AJ74" s="320"/>
      <c r="AK74" s="326"/>
      <c r="AL74" s="324" t="str">
        <f t="shared" si="31"/>
        <v/>
      </c>
      <c r="AM74" s="325" t="str">
        <f t="shared" si="12"/>
        <v/>
      </c>
      <c r="AN74" s="255"/>
      <c r="AO74" s="557" t="str">
        <f>IFERROR(VLOOKUP(K74,【参考】数式用!$A$2:$N$57,14,FALSE),"")</f>
        <v/>
      </c>
      <c r="AP74" s="557" t="str">
        <f t="shared" si="13"/>
        <v/>
      </c>
      <c r="AQ74" s="561" t="str">
        <f t="shared" si="32"/>
        <v/>
      </c>
      <c r="AR74" s="561" t="str">
        <f t="shared" si="30"/>
        <v>キャリアパス要件Ⅰ・Ⅱ_</v>
      </c>
      <c r="AS74" s="540" t="str">
        <f t="shared" si="33"/>
        <v>入力済</v>
      </c>
      <c r="AT74" s="557" t="str">
        <f t="shared" si="14"/>
        <v/>
      </c>
      <c r="AU74" s="540" t="str">
        <f t="shared" si="34"/>
        <v>入力済</v>
      </c>
      <c r="AV74" s="540" t="str">
        <f t="shared" si="35"/>
        <v/>
      </c>
      <c r="AW74" s="576" t="str">
        <f t="shared" si="15"/>
        <v/>
      </c>
      <c r="AX74" s="557" t="str">
        <f t="shared" si="36"/>
        <v/>
      </c>
      <c r="AY74" s="540" t="str">
        <f>IFERROR(VLOOKUP(K74,【参考】数式用!$AR$3:$AS$49, 2, FALSE), "")</f>
        <v/>
      </c>
      <c r="AZ74" s="557" t="str">
        <f t="shared" si="16"/>
        <v/>
      </c>
      <c r="BA74" s="560" t="str">
        <f t="shared" si="37"/>
        <v>入力済</v>
      </c>
      <c r="BB74" s="540" t="str">
        <f>IFERROR(VLOOKUP(K74,【参考】数式用!$AX$3:$AY$59, 2, FALSE), "")</f>
        <v/>
      </c>
      <c r="BC74" s="557" t="str">
        <f t="shared" si="17"/>
        <v/>
      </c>
      <c r="BD74" s="560" t="str">
        <f t="shared" si="38"/>
        <v>入力済</v>
      </c>
      <c r="BE74" s="560" t="str">
        <f t="shared" si="18"/>
        <v/>
      </c>
      <c r="BF74" s="560" t="str">
        <f t="shared" si="19"/>
        <v/>
      </c>
      <c r="BG74" s="560" t="str">
        <f t="shared" si="20"/>
        <v/>
      </c>
      <c r="BH74" s="560" t="str">
        <f t="shared" si="39"/>
        <v/>
      </c>
      <c r="BI74" s="560" t="str">
        <f t="shared" si="40"/>
        <v/>
      </c>
      <c r="BK74" s="27"/>
      <c r="BL74" s="607" t="str">
        <f t="shared" si="21"/>
        <v/>
      </c>
      <c r="BM74" s="607" t="str">
        <f t="shared" si="22"/>
        <v/>
      </c>
      <c r="BN74" s="607" t="str">
        <f t="shared" si="23"/>
        <v/>
      </c>
      <c r="BO74" s="608" t="str">
        <f>IF(BM74="","",ROUNDDOWN(L74*VLOOKUP(K74,【参考】数式用!$A$4:$J$42,10,FALSE)*AA74,0))</f>
        <v/>
      </c>
      <c r="BP74" s="607" t="str">
        <f t="shared" si="24"/>
        <v/>
      </c>
      <c r="BQ74" s="607" t="str">
        <f t="shared" si="25"/>
        <v/>
      </c>
      <c r="BR74" s="609" t="str">
        <f t="shared" si="26"/>
        <v/>
      </c>
      <c r="BS74" s="609" t="str">
        <f t="shared" si="27"/>
        <v/>
      </c>
      <c r="BT74" s="607" t="str">
        <f t="shared" si="28"/>
        <v/>
      </c>
      <c r="BU74" s="608" t="str">
        <f>IF(BT74="Ⅱロ有り",ROUNDDOWN(L74*VLOOKUP(K74,【参考】数式用!$A$4:$J$42,10,FALSE)*AA74,0),"")</f>
        <v/>
      </c>
      <c r="BV74" s="607" t="str">
        <f>IF(BT74="Ⅱロなし",ROUNDDOWN(L74*VLOOKUP(K74,【参考】数式用!$A$4:$J$42,8,FALSE)*AA74,0),"")</f>
        <v/>
      </c>
    </row>
    <row r="75" spans="1:74" ht="109.9" customHeight="1" thickBot="1">
      <c r="A75" s="303">
        <v>62</v>
      </c>
      <c r="B75" s="956" t="str">
        <f>IF(基本情報入力シート!B97="","",基本情報入力シート!B97)</f>
        <v/>
      </c>
      <c r="C75" s="957"/>
      <c r="D75" s="957"/>
      <c r="E75" s="957"/>
      <c r="F75" s="958"/>
      <c r="G75" s="304" t="str">
        <f>IF(基本情報入力シート!L97="", "", 基本情報入力シート!L97)</f>
        <v/>
      </c>
      <c r="H75" s="304" t="str">
        <f>IF(基本情報入力シート!Q97="", "", 基本情報入力シート!Q97)</f>
        <v/>
      </c>
      <c r="I75" s="304" t="str">
        <f>IF(基本情報入力シート!V97="", "", 基本情報入力シート!V97)</f>
        <v/>
      </c>
      <c r="J75" s="304" t="str">
        <f>IF(基本情報入力シート!W97="", "", 基本情報入力シート!W97)</f>
        <v/>
      </c>
      <c r="K75" s="304" t="str">
        <f>IF(基本情報入力シート!Z97="", "", 基本情報入力シート!Z97)</f>
        <v/>
      </c>
      <c r="L75" s="558" t="str">
        <f>IF(基本情報入力シート!AF97=0, "",基本情報入力シート!AF97)</f>
        <v/>
      </c>
      <c r="M75" s="524" t="str">
        <f>IF('別紙様式2-2（個票（４、５月））'!M75="","",'別紙様式2-2（個票（４、５月））'!M75)</f>
        <v/>
      </c>
      <c r="N75" s="523" t="str">
        <f>IF('別紙様式2-2（個票（４、５月））'!N75="","",'別紙様式2-2（個票（４、５月））'!N75)</f>
        <v/>
      </c>
      <c r="O75" s="286"/>
      <c r="P75" s="555" t="str">
        <f>IFERROR(VLOOKUP(K75,【参考】数式用!$A$2:$M$57,MATCH(O75,【参考】数式用!$G$3:$M$3,0)+6,0),"")</f>
        <v/>
      </c>
      <c r="Q75" s="310" t="s">
        <v>118</v>
      </c>
      <c r="R75" s="308"/>
      <c r="S75" s="309" t="s">
        <v>183</v>
      </c>
      <c r="T75" s="308"/>
      <c r="U75" s="309" t="s">
        <v>184</v>
      </c>
      <c r="V75" s="308"/>
      <c r="W75" s="309" t="s">
        <v>183</v>
      </c>
      <c r="X75" s="308"/>
      <c r="Y75" s="309" t="s">
        <v>185</v>
      </c>
      <c r="Z75" s="309" t="s">
        <v>186</v>
      </c>
      <c r="AA75" s="309" t="str">
        <f t="shared" si="29"/>
        <v/>
      </c>
      <c r="AB75" s="305" t="s">
        <v>187</v>
      </c>
      <c r="AC75" s="306" t="str">
        <f t="shared" si="10"/>
        <v/>
      </c>
      <c r="AD75" s="515" t="str">
        <f t="shared" si="11"/>
        <v/>
      </c>
      <c r="AE75" s="307" t="str">
        <f>IFERROR(ROUNDDOWN(ROUNDDOWN(ROUND(L75*VLOOKUP(K75,【参考】数式用!$A$2:$M$57,MATCH("処遇改善加算Ⅳ",【参考】数式用!$G$3:$M$3,0)+6,0),0),0)*AA75*0.5,0), "")</f>
        <v/>
      </c>
      <c r="AF75" s="318"/>
      <c r="AG75" s="319"/>
      <c r="AH75" s="319"/>
      <c r="AI75" s="318"/>
      <c r="AJ75" s="320"/>
      <c r="AK75" s="326"/>
      <c r="AL75" s="324" t="str">
        <f t="shared" si="31"/>
        <v/>
      </c>
      <c r="AM75" s="325" t="str">
        <f t="shared" si="12"/>
        <v/>
      </c>
      <c r="AN75" s="255"/>
      <c r="AO75" s="557" t="str">
        <f>IFERROR(VLOOKUP(K75,【参考】数式用!$A$2:$N$57,14,FALSE),"")</f>
        <v/>
      </c>
      <c r="AP75" s="557" t="str">
        <f t="shared" si="13"/>
        <v/>
      </c>
      <c r="AQ75" s="561" t="str">
        <f t="shared" si="32"/>
        <v/>
      </c>
      <c r="AR75" s="561" t="str">
        <f t="shared" si="30"/>
        <v>キャリアパス要件Ⅰ・Ⅱ_</v>
      </c>
      <c r="AS75" s="540" t="str">
        <f t="shared" si="33"/>
        <v>入力済</v>
      </c>
      <c r="AT75" s="557" t="str">
        <f t="shared" si="14"/>
        <v/>
      </c>
      <c r="AU75" s="540" t="str">
        <f t="shared" si="34"/>
        <v>入力済</v>
      </c>
      <c r="AV75" s="540" t="str">
        <f t="shared" si="35"/>
        <v/>
      </c>
      <c r="AW75" s="576" t="str">
        <f t="shared" si="15"/>
        <v/>
      </c>
      <c r="AX75" s="557" t="str">
        <f t="shared" si="36"/>
        <v/>
      </c>
      <c r="AY75" s="540" t="str">
        <f>IFERROR(VLOOKUP(K75,【参考】数式用!$AR$3:$AS$49, 2, FALSE), "")</f>
        <v/>
      </c>
      <c r="AZ75" s="557" t="str">
        <f t="shared" si="16"/>
        <v/>
      </c>
      <c r="BA75" s="560" t="str">
        <f t="shared" si="37"/>
        <v>入力済</v>
      </c>
      <c r="BB75" s="540" t="str">
        <f>IFERROR(VLOOKUP(K75,【参考】数式用!$AX$3:$AY$59, 2, FALSE), "")</f>
        <v/>
      </c>
      <c r="BC75" s="557" t="str">
        <f t="shared" si="17"/>
        <v/>
      </c>
      <c r="BD75" s="560" t="str">
        <f t="shared" si="38"/>
        <v>入力済</v>
      </c>
      <c r="BE75" s="560" t="str">
        <f t="shared" si="18"/>
        <v/>
      </c>
      <c r="BF75" s="560" t="str">
        <f t="shared" si="19"/>
        <v/>
      </c>
      <c r="BG75" s="560" t="str">
        <f t="shared" si="20"/>
        <v/>
      </c>
      <c r="BH75" s="560" t="str">
        <f t="shared" si="39"/>
        <v/>
      </c>
      <c r="BI75" s="560" t="str">
        <f t="shared" si="40"/>
        <v/>
      </c>
      <c r="BK75" s="27"/>
      <c r="BL75" s="607" t="str">
        <f t="shared" si="21"/>
        <v/>
      </c>
      <c r="BM75" s="607" t="str">
        <f t="shared" si="22"/>
        <v/>
      </c>
      <c r="BN75" s="607" t="str">
        <f t="shared" si="23"/>
        <v/>
      </c>
      <c r="BO75" s="608" t="str">
        <f>IF(BM75="","",ROUNDDOWN(L75*VLOOKUP(K75,【参考】数式用!$A$4:$J$42,10,FALSE)*AA75,0))</f>
        <v/>
      </c>
      <c r="BP75" s="607" t="str">
        <f t="shared" si="24"/>
        <v/>
      </c>
      <c r="BQ75" s="607" t="str">
        <f t="shared" si="25"/>
        <v/>
      </c>
      <c r="BR75" s="609" t="str">
        <f t="shared" si="26"/>
        <v/>
      </c>
      <c r="BS75" s="609" t="str">
        <f t="shared" si="27"/>
        <v/>
      </c>
      <c r="BT75" s="607" t="str">
        <f t="shared" si="28"/>
        <v/>
      </c>
      <c r="BU75" s="608" t="str">
        <f>IF(BT75="Ⅱロ有り",ROUNDDOWN(L75*VLOOKUP(K75,【参考】数式用!$A$4:$J$42,10,FALSE)*AA75,0),"")</f>
        <v/>
      </c>
      <c r="BV75" s="607" t="str">
        <f>IF(BT75="Ⅱロなし",ROUNDDOWN(L75*VLOOKUP(K75,【参考】数式用!$A$4:$J$42,8,FALSE)*AA75,0),"")</f>
        <v/>
      </c>
    </row>
    <row r="76" spans="1:74" ht="109.9" customHeight="1" thickBot="1">
      <c r="A76" s="303">
        <v>63</v>
      </c>
      <c r="B76" s="956" t="str">
        <f>IF(基本情報入力シート!B98="","",基本情報入力シート!B98)</f>
        <v/>
      </c>
      <c r="C76" s="957"/>
      <c r="D76" s="957"/>
      <c r="E76" s="957"/>
      <c r="F76" s="958"/>
      <c r="G76" s="304" t="str">
        <f>IF(基本情報入力シート!L98="", "", 基本情報入力シート!L98)</f>
        <v/>
      </c>
      <c r="H76" s="304" t="str">
        <f>IF(基本情報入力シート!Q98="", "", 基本情報入力シート!Q98)</f>
        <v/>
      </c>
      <c r="I76" s="304" t="str">
        <f>IF(基本情報入力シート!V98="", "", 基本情報入力シート!V98)</f>
        <v/>
      </c>
      <c r="J76" s="304" t="str">
        <f>IF(基本情報入力シート!W98="", "", 基本情報入力シート!W98)</f>
        <v/>
      </c>
      <c r="K76" s="304" t="str">
        <f>IF(基本情報入力シート!Z98="", "", 基本情報入力シート!Z98)</f>
        <v/>
      </c>
      <c r="L76" s="558" t="str">
        <f>IF(基本情報入力シート!AF98=0, "",基本情報入力シート!AF98)</f>
        <v/>
      </c>
      <c r="M76" s="524" t="str">
        <f>IF('別紙様式2-2（個票（４、５月））'!M76="","",'別紙様式2-2（個票（４、５月））'!M76)</f>
        <v/>
      </c>
      <c r="N76" s="523" t="str">
        <f>IF('別紙様式2-2（個票（４、５月））'!N76="","",'別紙様式2-2（個票（４、５月））'!N76)</f>
        <v/>
      </c>
      <c r="O76" s="286"/>
      <c r="P76" s="555" t="str">
        <f>IFERROR(VLOOKUP(K76,【参考】数式用!$A$2:$M$57,MATCH(O76,【参考】数式用!$G$3:$M$3,0)+6,0),"")</f>
        <v/>
      </c>
      <c r="Q76" s="310" t="s">
        <v>118</v>
      </c>
      <c r="R76" s="308"/>
      <c r="S76" s="309" t="s">
        <v>183</v>
      </c>
      <c r="T76" s="308"/>
      <c r="U76" s="309" t="s">
        <v>184</v>
      </c>
      <c r="V76" s="308"/>
      <c r="W76" s="309" t="s">
        <v>183</v>
      </c>
      <c r="X76" s="308"/>
      <c r="Y76" s="309" t="s">
        <v>120</v>
      </c>
      <c r="Z76" s="309" t="s">
        <v>186</v>
      </c>
      <c r="AA76" s="309" t="str">
        <f t="shared" si="29"/>
        <v/>
      </c>
      <c r="AB76" s="305" t="s">
        <v>187</v>
      </c>
      <c r="AC76" s="306" t="str">
        <f t="shared" si="10"/>
        <v/>
      </c>
      <c r="AD76" s="515" t="str">
        <f t="shared" si="11"/>
        <v/>
      </c>
      <c r="AE76" s="307" t="str">
        <f>IFERROR(ROUNDDOWN(ROUNDDOWN(ROUND(L76*VLOOKUP(K76,【参考】数式用!$A$2:$M$57,MATCH("処遇改善加算Ⅳ",【参考】数式用!$G$3:$M$3,0)+6,0),0),0)*AA76*0.5,0), "")</f>
        <v/>
      </c>
      <c r="AF76" s="318"/>
      <c r="AG76" s="319"/>
      <c r="AH76" s="319"/>
      <c r="AI76" s="318"/>
      <c r="AJ76" s="320"/>
      <c r="AK76" s="326"/>
      <c r="AL76" s="324" t="str">
        <f t="shared" si="31"/>
        <v/>
      </c>
      <c r="AM76" s="325" t="str">
        <f t="shared" si="12"/>
        <v/>
      </c>
      <c r="AN76" s="255"/>
      <c r="AO76" s="557" t="str">
        <f>IFERROR(VLOOKUP(K76,【参考】数式用!$A$2:$N$57,14,FALSE),"")</f>
        <v/>
      </c>
      <c r="AP76" s="557" t="str">
        <f t="shared" si="13"/>
        <v/>
      </c>
      <c r="AQ76" s="561" t="str">
        <f t="shared" si="32"/>
        <v/>
      </c>
      <c r="AR76" s="561" t="str">
        <f t="shared" si="30"/>
        <v>キャリアパス要件Ⅰ・Ⅱ_</v>
      </c>
      <c r="AS76" s="540" t="str">
        <f t="shared" si="33"/>
        <v>入力済</v>
      </c>
      <c r="AT76" s="557" t="str">
        <f t="shared" si="14"/>
        <v/>
      </c>
      <c r="AU76" s="540" t="str">
        <f t="shared" si="34"/>
        <v>入力済</v>
      </c>
      <c r="AV76" s="540" t="str">
        <f t="shared" si="35"/>
        <v/>
      </c>
      <c r="AW76" s="576" t="str">
        <f t="shared" si="15"/>
        <v/>
      </c>
      <c r="AX76" s="557" t="str">
        <f t="shared" si="36"/>
        <v/>
      </c>
      <c r="AY76" s="540" t="str">
        <f>IFERROR(VLOOKUP(K76,【参考】数式用!$AR$3:$AS$49, 2, FALSE), "")</f>
        <v/>
      </c>
      <c r="AZ76" s="557" t="str">
        <f t="shared" si="16"/>
        <v/>
      </c>
      <c r="BA76" s="560" t="str">
        <f t="shared" si="37"/>
        <v>入力済</v>
      </c>
      <c r="BB76" s="540" t="str">
        <f>IFERROR(VLOOKUP(K76,【参考】数式用!$AX$3:$AY$59, 2, FALSE), "")</f>
        <v/>
      </c>
      <c r="BC76" s="557" t="str">
        <f t="shared" si="17"/>
        <v/>
      </c>
      <c r="BD76" s="560" t="str">
        <f t="shared" si="38"/>
        <v>入力済</v>
      </c>
      <c r="BE76" s="560" t="str">
        <f t="shared" si="18"/>
        <v/>
      </c>
      <c r="BF76" s="560" t="str">
        <f t="shared" si="19"/>
        <v/>
      </c>
      <c r="BG76" s="560" t="str">
        <f t="shared" si="20"/>
        <v/>
      </c>
      <c r="BH76" s="560" t="str">
        <f t="shared" si="39"/>
        <v/>
      </c>
      <c r="BI76" s="560" t="str">
        <f t="shared" si="40"/>
        <v/>
      </c>
      <c r="BK76" s="27"/>
      <c r="BL76" s="607" t="str">
        <f t="shared" si="21"/>
        <v/>
      </c>
      <c r="BM76" s="607" t="str">
        <f t="shared" si="22"/>
        <v/>
      </c>
      <c r="BN76" s="607" t="str">
        <f t="shared" si="23"/>
        <v/>
      </c>
      <c r="BO76" s="608" t="str">
        <f>IF(BM76="","",ROUNDDOWN(L76*VLOOKUP(K76,【参考】数式用!$A$4:$J$42,10,FALSE)*AA76,0))</f>
        <v/>
      </c>
      <c r="BP76" s="607" t="str">
        <f t="shared" si="24"/>
        <v/>
      </c>
      <c r="BQ76" s="607" t="str">
        <f t="shared" si="25"/>
        <v/>
      </c>
      <c r="BR76" s="609" t="str">
        <f t="shared" si="26"/>
        <v/>
      </c>
      <c r="BS76" s="609" t="str">
        <f t="shared" si="27"/>
        <v/>
      </c>
      <c r="BT76" s="607" t="str">
        <f t="shared" si="28"/>
        <v/>
      </c>
      <c r="BU76" s="608" t="str">
        <f>IF(BT76="Ⅱロ有り",ROUNDDOWN(L76*VLOOKUP(K76,【参考】数式用!$A$4:$J$42,10,FALSE)*AA76,0),"")</f>
        <v/>
      </c>
      <c r="BV76" s="607" t="str">
        <f>IF(BT76="Ⅱロなし",ROUNDDOWN(L76*VLOOKUP(K76,【参考】数式用!$A$4:$J$42,8,FALSE)*AA76,0),"")</f>
        <v/>
      </c>
    </row>
    <row r="77" spans="1:74" ht="109.9" customHeight="1" thickBot="1">
      <c r="A77" s="303">
        <v>64</v>
      </c>
      <c r="B77" s="956" t="str">
        <f>IF(基本情報入力シート!B99="","",基本情報入力シート!B99)</f>
        <v/>
      </c>
      <c r="C77" s="957"/>
      <c r="D77" s="957"/>
      <c r="E77" s="957"/>
      <c r="F77" s="958"/>
      <c r="G77" s="304" t="str">
        <f>IF(基本情報入力シート!L99="", "", 基本情報入力シート!L99)</f>
        <v/>
      </c>
      <c r="H77" s="304" t="str">
        <f>IF(基本情報入力シート!Q99="", "", 基本情報入力シート!Q99)</f>
        <v/>
      </c>
      <c r="I77" s="304" t="str">
        <f>IF(基本情報入力シート!V99="", "", 基本情報入力シート!V99)</f>
        <v/>
      </c>
      <c r="J77" s="304" t="str">
        <f>IF(基本情報入力シート!W99="", "", 基本情報入力シート!W99)</f>
        <v/>
      </c>
      <c r="K77" s="304" t="str">
        <f>IF(基本情報入力シート!Z99="", "", 基本情報入力シート!Z99)</f>
        <v/>
      </c>
      <c r="L77" s="558" t="str">
        <f>IF(基本情報入力シート!AF99=0, "",基本情報入力シート!AF99)</f>
        <v/>
      </c>
      <c r="M77" s="524" t="str">
        <f>IF('別紙様式2-2（個票（４、５月））'!M77="","",'別紙様式2-2（個票（４、５月））'!M77)</f>
        <v/>
      </c>
      <c r="N77" s="523" t="str">
        <f>IF('別紙様式2-2（個票（４、５月））'!N77="","",'別紙様式2-2（個票（４、５月））'!N77)</f>
        <v/>
      </c>
      <c r="O77" s="286"/>
      <c r="P77" s="555" t="str">
        <f>IFERROR(VLOOKUP(K77,【参考】数式用!$A$2:$M$57,MATCH(O77,【参考】数式用!$G$3:$M$3,0)+6,0),"")</f>
        <v/>
      </c>
      <c r="Q77" s="310" t="s">
        <v>118</v>
      </c>
      <c r="R77" s="308"/>
      <c r="S77" s="309" t="s">
        <v>183</v>
      </c>
      <c r="T77" s="308"/>
      <c r="U77" s="309" t="s">
        <v>184</v>
      </c>
      <c r="V77" s="308"/>
      <c r="W77" s="309" t="s">
        <v>183</v>
      </c>
      <c r="X77" s="308"/>
      <c r="Y77" s="309" t="s">
        <v>185</v>
      </c>
      <c r="Z77" s="309" t="s">
        <v>186</v>
      </c>
      <c r="AA77" s="309" t="str">
        <f t="shared" si="29"/>
        <v/>
      </c>
      <c r="AB77" s="305" t="s">
        <v>187</v>
      </c>
      <c r="AC77" s="306" t="str">
        <f t="shared" si="10"/>
        <v/>
      </c>
      <c r="AD77" s="515" t="str">
        <f t="shared" si="11"/>
        <v/>
      </c>
      <c r="AE77" s="307" t="str">
        <f>IFERROR(ROUNDDOWN(ROUNDDOWN(ROUND(L77*VLOOKUP(K77,【参考】数式用!$A$2:$M$57,MATCH("処遇改善加算Ⅳ",【参考】数式用!$G$3:$M$3,0)+6,0),0),0)*AA77*0.5,0), "")</f>
        <v/>
      </c>
      <c r="AF77" s="318"/>
      <c r="AG77" s="319"/>
      <c r="AH77" s="319"/>
      <c r="AI77" s="318"/>
      <c r="AJ77" s="320"/>
      <c r="AK77" s="326"/>
      <c r="AL77" s="324" t="str">
        <f t="shared" ref="AL77:AL108" si="41">IF(AND(O77&lt;&gt;"", OR(V77&lt;&gt;9,X77&lt;&gt;3)),"！算定期間の終わりが令和９年３月になっていません。６月以降、年度の途中で加算区分を変更する場合は、基本情報入力シートに対象となる事業所の行を追加し、このシートに記入してください。その際、４，５月分シートでは同一事業所について複数回記入しないように注意してください。",
 IF(AND(AO77="加算対象外",O77&lt;&gt;"",AG77="―",AK77="―"),"このサービスについては、キャリアパス要件Ⅰ・Ⅱか令和８年度特例要件のどちらかの要件を満たしている必要があります",""))</f>
        <v/>
      </c>
      <c r="AM77" s="325" t="str">
        <f t="shared" si="12"/>
        <v/>
      </c>
      <c r="AN77" s="255"/>
      <c r="AO77" s="557" t="str">
        <f>IFERROR(VLOOKUP(K77,【参考】数式用!$A$2:$N$57,14,FALSE),"")</f>
        <v/>
      </c>
      <c r="AP77" s="557" t="str">
        <f t="shared" si="13"/>
        <v/>
      </c>
      <c r="AQ77" s="561" t="str">
        <f t="shared" ref="AQ77:AQ113" si="42">IF(AND(AE77&lt;&gt;0,AE77&lt;&gt;"",AO77="加算対象"),IF(AF77="○","入力済","未入力"),"")</f>
        <v/>
      </c>
      <c r="AR77" s="561" t="str">
        <f t="shared" si="30"/>
        <v>キャリアパス要件Ⅰ・Ⅱ_</v>
      </c>
      <c r="AS77" s="540" t="str">
        <f t="shared" ref="AS77:AS113" si="43">IF(AND(O77&lt;&gt;"", AG77=""), "未入力", "入力済")</f>
        <v>入力済</v>
      </c>
      <c r="AT77" s="557" t="str">
        <f t="shared" si="14"/>
        <v/>
      </c>
      <c r="AU77" s="540" t="str">
        <f t="shared" ref="AU77:AU113" si="44">IF(AND(O77&lt;&gt;"", O77&lt;&gt;"処遇改善加算Ⅳ",O77&lt;&gt;"処遇改善加算", AH77=""), "未入力", "入力済")</f>
        <v>入力済</v>
      </c>
      <c r="AV77" s="540" t="str">
        <f t="shared" ref="AV77:AV113" si="45">IF(OR(ISNUMBER(SEARCH("処遇改善加算Ⅰ",O77)),ISNUMBER(SEARCH("処遇改善加算Ⅱ",O77))),"対象","")</f>
        <v/>
      </c>
      <c r="AW77" s="576" t="str">
        <f t="shared" si="15"/>
        <v/>
      </c>
      <c r="AX77" s="557" t="str">
        <f t="shared" ref="AX77:AX108" si="46">IF(AND(AW77=1, OR(AI77=0,AI77=""),AO77="加算対象"),"AH列に色付け","")</f>
        <v/>
      </c>
      <c r="AY77" s="540" t="str">
        <f>IFERROR(VLOOKUP(K77,【参考】数式用!$AR$3:$AS$49, 2, FALSE), "")</f>
        <v/>
      </c>
      <c r="AZ77" s="557" t="str">
        <f t="shared" si="16"/>
        <v/>
      </c>
      <c r="BA77" s="560" t="str">
        <f t="shared" ref="BA77:BA113" si="47">IF(AND(OR(O77="処遇改善加算Ⅰイ",O77="処遇改善加算Ⅰロ"), AJ77=""), "未入力","入力済")</f>
        <v>入力済</v>
      </c>
      <c r="BB77" s="540" t="str">
        <f>IFERROR(VLOOKUP(K77,【参考】数式用!$AX$3:$AY$59, 2, FALSE), "")</f>
        <v/>
      </c>
      <c r="BC77" s="557" t="str">
        <f t="shared" si="17"/>
        <v/>
      </c>
      <c r="BD77" s="560" t="str">
        <f t="shared" ref="BD77:BD113" si="48">IF(AND(COUNTIF(AG77:AI77,"*令和８年度特例要件を*")&gt;0,AK77=""), "未入力","入力済")</f>
        <v>入力済</v>
      </c>
      <c r="BE77" s="560" t="str">
        <f t="shared" si="18"/>
        <v/>
      </c>
      <c r="BF77" s="560" t="str">
        <f t="shared" si="19"/>
        <v/>
      </c>
      <c r="BG77" s="560" t="str">
        <f t="shared" si="20"/>
        <v/>
      </c>
      <c r="BH77" s="560" t="str">
        <f t="shared" ref="BH77:BH108" si="49">IF(AND(BE77="",BG77="入力必要"),IF(AK77="","未入力","入力済"),"")</f>
        <v/>
      </c>
      <c r="BI77" s="560" t="str">
        <f t="shared" ref="BI77:BI113" si="50">G77</f>
        <v/>
      </c>
      <c r="BK77" s="27"/>
      <c r="BL77" s="607" t="str">
        <f t="shared" si="21"/>
        <v/>
      </c>
      <c r="BM77" s="607" t="str">
        <f t="shared" si="22"/>
        <v/>
      </c>
      <c r="BN77" s="607" t="str">
        <f t="shared" si="23"/>
        <v/>
      </c>
      <c r="BO77" s="608" t="str">
        <f>IF(BM77="","",ROUNDDOWN(L77*VLOOKUP(K77,【参考】数式用!$A$4:$J$42,10,FALSE)*AA77,0))</f>
        <v/>
      </c>
      <c r="BP77" s="607" t="str">
        <f t="shared" si="24"/>
        <v/>
      </c>
      <c r="BQ77" s="607" t="str">
        <f t="shared" si="25"/>
        <v/>
      </c>
      <c r="BR77" s="609" t="str">
        <f t="shared" si="26"/>
        <v/>
      </c>
      <c r="BS77" s="609" t="str">
        <f t="shared" si="27"/>
        <v/>
      </c>
      <c r="BT77" s="607" t="str">
        <f t="shared" si="28"/>
        <v/>
      </c>
      <c r="BU77" s="608" t="str">
        <f>IF(BT77="Ⅱロ有り",ROUNDDOWN(L77*VLOOKUP(K77,【参考】数式用!$A$4:$J$42,10,FALSE)*AA77,0),"")</f>
        <v/>
      </c>
      <c r="BV77" s="607" t="str">
        <f>IF(BT77="Ⅱロなし",ROUNDDOWN(L77*VLOOKUP(K77,【参考】数式用!$A$4:$J$42,8,FALSE)*AA77,0),"")</f>
        <v/>
      </c>
    </row>
    <row r="78" spans="1:74" ht="109.9" customHeight="1" thickBot="1">
      <c r="A78" s="303">
        <v>65</v>
      </c>
      <c r="B78" s="956" t="str">
        <f>IF(基本情報入力シート!B100="","",基本情報入力シート!B100)</f>
        <v/>
      </c>
      <c r="C78" s="957"/>
      <c r="D78" s="957"/>
      <c r="E78" s="957"/>
      <c r="F78" s="958"/>
      <c r="G78" s="304" t="str">
        <f>IF(基本情報入力シート!L100="", "", 基本情報入力シート!L100)</f>
        <v/>
      </c>
      <c r="H78" s="304" t="str">
        <f>IF(基本情報入力シート!Q100="", "", 基本情報入力シート!Q100)</f>
        <v/>
      </c>
      <c r="I78" s="304" t="str">
        <f>IF(基本情報入力シート!V100="", "", 基本情報入力シート!V100)</f>
        <v/>
      </c>
      <c r="J78" s="304" t="str">
        <f>IF(基本情報入力シート!W100="", "", 基本情報入力シート!W100)</f>
        <v/>
      </c>
      <c r="K78" s="304" t="str">
        <f>IF(基本情報入力シート!Z100="", "", 基本情報入力シート!Z100)</f>
        <v/>
      </c>
      <c r="L78" s="558" t="str">
        <f>IF(基本情報入力シート!AF100=0, "",基本情報入力シート!AF100)</f>
        <v/>
      </c>
      <c r="M78" s="524" t="str">
        <f>IF('別紙様式2-2（個票（４、５月））'!M78="","",'別紙様式2-2（個票（４、５月））'!M78)</f>
        <v/>
      </c>
      <c r="N78" s="523" t="str">
        <f>IF('別紙様式2-2（個票（４、５月））'!N78="","",'別紙様式2-2（個票（４、５月））'!N78)</f>
        <v/>
      </c>
      <c r="O78" s="286"/>
      <c r="P78" s="555" t="str">
        <f>IFERROR(VLOOKUP(K78,【参考】数式用!$A$2:$M$57,MATCH(O78,【参考】数式用!$G$3:$M$3,0)+6,0),"")</f>
        <v/>
      </c>
      <c r="Q78" s="310" t="s">
        <v>118</v>
      </c>
      <c r="R78" s="308"/>
      <c r="S78" s="309" t="s">
        <v>183</v>
      </c>
      <c r="T78" s="308"/>
      <c r="U78" s="309" t="s">
        <v>184</v>
      </c>
      <c r="V78" s="308"/>
      <c r="W78" s="309" t="s">
        <v>183</v>
      </c>
      <c r="X78" s="308"/>
      <c r="Y78" s="309" t="s">
        <v>185</v>
      </c>
      <c r="Z78" s="309" t="s">
        <v>186</v>
      </c>
      <c r="AA78" s="309" t="str">
        <f t="shared" si="29"/>
        <v/>
      </c>
      <c r="AB78" s="305" t="s">
        <v>187</v>
      </c>
      <c r="AC78" s="306" t="str">
        <f t="shared" ref="AC78:AC113" si="51">IFERROR(ROUNDDOWN(ROUND(L78*P78,0),0)*AA78,"")</f>
        <v/>
      </c>
      <c r="AD78" s="515" t="str">
        <f t="shared" ref="AD78:AD113" si="52">IFERROR(ROUNDDOWN(ROUND((L78*(P78-N78)),0),0)*AA78,"")</f>
        <v/>
      </c>
      <c r="AE78" s="307" t="str">
        <f>IFERROR(ROUNDDOWN(ROUNDDOWN(ROUND(L78*VLOOKUP(K78,【参考】数式用!$A$2:$M$57,MATCH("処遇改善加算Ⅳ",【参考】数式用!$G$3:$M$3,0)+6,0),0),0)*AA78*0.5,0), "")</f>
        <v/>
      </c>
      <c r="AF78" s="318"/>
      <c r="AG78" s="319"/>
      <c r="AH78" s="319"/>
      <c r="AI78" s="318"/>
      <c r="AJ78" s="320"/>
      <c r="AK78" s="326"/>
      <c r="AL78" s="324" t="str">
        <f t="shared" si="41"/>
        <v/>
      </c>
      <c r="AM78" s="325" t="str">
        <f t="shared" ref="AM78:AM113" si="53">IF(O78="","",IF(OR(AND(COUNTIF(AQ78,"未入力")&gt;0,AF78=""),AND(COUNTIF(AS78,"未入力")&gt;0,AG78=""),AND(COUNTIF(AW78,"未入力")&gt;0,AI78=""),AND(COUNTIF(AO78:BD78,"AH列に色付け")&gt;0,AH78=""),AND(COUNTIF(AO78:BD78,"AG列に色付け")&gt;0,OR(AI78="",AI78=0)),AND(COUNTIF(AO78:BD78,"AJ列に色付け")&gt;0,AJ78=""),AND(COUNTIF(AO78:BD78,"AK列に色付け")&gt;0,AK78="",NOT(OR(BE78="AK列色消し",BF78="AK列色消し")))),"！記入が必要な欄（オレンジ色のセル）に空欄があります。空欄を埋めてください。",""))</f>
        <v/>
      </c>
      <c r="AN78" s="255"/>
      <c r="AO78" s="557" t="str">
        <f>IFERROR(VLOOKUP(K78,【参考】数式用!$A$2:$N$57,14,FALSE),"")</f>
        <v/>
      </c>
      <c r="AP78" s="557" t="str">
        <f t="shared" ref="AP78:AP114" si="54">IF(AND(K78&lt;&gt;""),"O列に色付け","")</f>
        <v/>
      </c>
      <c r="AQ78" s="561" t="str">
        <f t="shared" si="42"/>
        <v/>
      </c>
      <c r="AR78" s="561" t="str">
        <f t="shared" si="30"/>
        <v>キャリアパス要件Ⅰ・Ⅱ_</v>
      </c>
      <c r="AS78" s="540" t="str">
        <f t="shared" si="43"/>
        <v>入力済</v>
      </c>
      <c r="AT78" s="557" t="str">
        <f t="shared" ref="AT78:AT113" si="55">IF(AND(O78&lt;&gt;"", O78&lt;&gt;"処遇改善加算Ⅳ",AO78="加算対象"),"AH列に色付け","")</f>
        <v/>
      </c>
      <c r="AU78" s="540" t="str">
        <f t="shared" si="44"/>
        <v>入力済</v>
      </c>
      <c r="AV78" s="540" t="str">
        <f t="shared" si="45"/>
        <v/>
      </c>
      <c r="AW78" s="576" t="str">
        <f t="shared" ref="AW78:AW113" si="56">IF(AND(O78&lt;&gt;"", O78&lt;&gt;"処遇改善加算Ⅲ", O78&lt;&gt;"処遇改善加算Ⅳ",O78&lt;&gt;"処遇改善加算"),"対象", "")</f>
        <v/>
      </c>
      <c r="AX78" s="557" t="str">
        <f t="shared" si="46"/>
        <v/>
      </c>
      <c r="AY78" s="540" t="str">
        <f>IFERROR(VLOOKUP(K78,【参考】数式用!$AR$3:$AS$49, 2, FALSE), "")</f>
        <v/>
      </c>
      <c r="AZ78" s="557" t="str">
        <f t="shared" ref="AZ78:AZ113" si="57">IF(AND(AO78="加算対象",OR(O78="処遇改善加算Ⅰイ",O78="処遇改善加算Ⅰロ")),"AJ列に色付け","")</f>
        <v/>
      </c>
      <c r="BA78" s="560" t="str">
        <f t="shared" si="47"/>
        <v>入力済</v>
      </c>
      <c r="BB78" s="540" t="str">
        <f>IFERROR(VLOOKUP(K78,【参考】数式用!$AX$3:$AY$59, 2, FALSE), "")</f>
        <v/>
      </c>
      <c r="BC78" s="557" t="str">
        <f t="shared" ref="BC78:BC113" si="58">IF(OR(COUNTIF(AG78:AI78,"*令和８年度特例要件を*")&gt;0,ISNUMBER(SEARCH("処遇改善加算Ⅰロ",O78)),ISNUMBER(SEARCH("処遇改善加算Ⅱロ",O78)),AO78="加算対象外"),"AK列に色付け","")</f>
        <v/>
      </c>
      <c r="BD78" s="560" t="str">
        <f t="shared" si="48"/>
        <v>入力済</v>
      </c>
      <c r="BE78" s="560" t="str">
        <f t="shared" ref="BE78:BE113" si="59">IF(OR(ISNUMBER(SEARCH("処遇改善加算Ⅰロ",O78)),ISNUMBER(SEARCH("処遇改善加算Ⅱロ",O78))),"",IF(AND(BC78="AK列に色付け",OR(AG78="○",AG78="誓約"),AH78="○",AI78&gt;=1),"AK列色消し",""))</f>
        <v/>
      </c>
      <c r="BF78" s="560" t="str">
        <f t="shared" ref="BF78:BF113" si="60">IF(AND(O78="処遇改善加算",OR(AG78="○",AG78="誓約")),"AK列色消し","")</f>
        <v/>
      </c>
      <c r="BG78" s="560" t="str">
        <f t="shared" ref="BG78:BG113" si="61">IF(OR(TRIM(BC78)="",BE78="AK列色消し",BF78="AK列色消し"),"","入力必要")</f>
        <v/>
      </c>
      <c r="BH78" s="560" t="str">
        <f t="shared" si="49"/>
        <v/>
      </c>
      <c r="BI78" s="560" t="str">
        <f t="shared" si="50"/>
        <v/>
      </c>
      <c r="BK78" s="27"/>
      <c r="BL78" s="607" t="str">
        <f t="shared" ref="BL78:BL113" si="62">IF(AND(K78&lt;&gt;"",K78&lt;&gt;"計画相談支援",K78&lt;&gt;"地域相談支援（地域定着支援）",K78&lt;&gt;"地域相談支援（地域移行支援）",K78&lt;&gt;"障害児相談支援"),"O列に色付け","")</f>
        <v/>
      </c>
      <c r="BM78" s="607" t="str">
        <f t="shared" ref="BM78:BM114" si="63">IF(OR(O78="処遇改善加算Ⅰロ",O78="処遇改善加算Ⅱロ"),"対象","")</f>
        <v/>
      </c>
      <c r="BN78" s="607" t="str">
        <f t="shared" ref="BN78:BN114" si="64">IF(BM78="","",IF(OR(K78="重度障害者等包括支援",K78="施設入所支援",K78="短期入所",K78="就労定着支援",K78="居宅訪問型児童発達支援",K78="保育所等訪問支援",K78="障害者支援施設：生活介護",K78="障害者支援施設：自立訓練（機能訓練）",K78="障害者支援施設：自立訓練（生活訓練）",K78="障害者支援施設：就労移行支援",K78="障害者支援施設：就労継続支援Ａ型",K78="障害者支援施設：就労継続支援Ｂ型"),"特例","対象"))</f>
        <v/>
      </c>
      <c r="BO78" s="608" t="str">
        <f>IF(BM78="","",ROUNDDOWN(L78*VLOOKUP(K78,【参考】数式用!$A$4:$J$42,10,FALSE)*AA78,0))</f>
        <v/>
      </c>
      <c r="BP78" s="607" t="str">
        <f t="shared" ref="BP78:BP114" si="65">IF(BN78="特例",AC78,"")</f>
        <v/>
      </c>
      <c r="BQ78" s="607" t="str">
        <f t="shared" ref="BQ78:BQ113" si="66">IF(O78="処遇改善加算","対象","")</f>
        <v/>
      </c>
      <c r="BR78" s="609" t="str">
        <f t="shared" ref="BR78:BR113" si="67">IF(BQ78="","",IF(OR(AG78="○",AG78="誓約"),"対象",""))</f>
        <v/>
      </c>
      <c r="BS78" s="609" t="str">
        <f t="shared" ref="BS78:BS114" si="68">IF(BM78="対象","",IF(COUNTIF(AF78:AH78,"*令和８年度特例要件を*")&gt;0,"特例要件",""))</f>
        <v/>
      </c>
      <c r="BT78" s="607" t="str">
        <f t="shared" ref="BT78:BT114" si="69">IF(BS78="特例要件",IF(OR(K78="重度障害者等包括支援",K78="施設入所支援",K78="短期入所",K78="就労定着支援",K78="居宅訪問型児童発達支援",K78="保育所等訪問支援",K78="障害者支援施設：生活介護",K78="障害者支援施設：自立訓練（機能訓練）",K78="障害者支援施設：自立訓練（生活訓練）",K78="障害者支援施設：就労移行支援",K78="障害者支援施設：就労継続支援Ａ型",K78="障害者支援施設：就労継続支援Ｂ型"),"Ⅱロなし","Ⅱロ有り"),"")</f>
        <v/>
      </c>
      <c r="BU78" s="608" t="str">
        <f>IF(BT78="Ⅱロ有り",ROUNDDOWN(L78*VLOOKUP(K78,【参考】数式用!$A$4:$J$42,10,FALSE)*AA78,0),"")</f>
        <v/>
      </c>
      <c r="BV78" s="607" t="str">
        <f>IF(BT78="Ⅱロなし",ROUNDDOWN(L78*VLOOKUP(K78,【参考】数式用!$A$4:$J$42,8,FALSE)*AA78,0),"")</f>
        <v/>
      </c>
    </row>
    <row r="79" spans="1:74" ht="109.9" customHeight="1" thickBot="1">
      <c r="A79" s="303">
        <v>66</v>
      </c>
      <c r="B79" s="956" t="str">
        <f>IF(基本情報入力シート!B101="","",基本情報入力シート!B101)</f>
        <v/>
      </c>
      <c r="C79" s="957"/>
      <c r="D79" s="957"/>
      <c r="E79" s="957"/>
      <c r="F79" s="958"/>
      <c r="G79" s="304" t="str">
        <f>IF(基本情報入力シート!L101="", "", 基本情報入力シート!L101)</f>
        <v/>
      </c>
      <c r="H79" s="304" t="str">
        <f>IF(基本情報入力シート!Q101="", "", 基本情報入力シート!Q101)</f>
        <v/>
      </c>
      <c r="I79" s="304" t="str">
        <f>IF(基本情報入力シート!V101="", "", 基本情報入力シート!V101)</f>
        <v/>
      </c>
      <c r="J79" s="304" t="str">
        <f>IF(基本情報入力シート!W101="", "", 基本情報入力シート!W101)</f>
        <v/>
      </c>
      <c r="K79" s="304" t="str">
        <f>IF(基本情報入力シート!Z101="", "", 基本情報入力シート!Z101)</f>
        <v/>
      </c>
      <c r="L79" s="558" t="str">
        <f>IF(基本情報入力シート!AF101=0, "",基本情報入力シート!AF101)</f>
        <v/>
      </c>
      <c r="M79" s="524" t="str">
        <f>IF('別紙様式2-2（個票（４、５月））'!M79="","",'別紙様式2-2（個票（４、５月））'!M79)</f>
        <v/>
      </c>
      <c r="N79" s="523" t="str">
        <f>IF('別紙様式2-2（個票（４、５月））'!N79="","",'別紙様式2-2（個票（４、５月））'!N79)</f>
        <v/>
      </c>
      <c r="O79" s="286"/>
      <c r="P79" s="555" t="str">
        <f>IFERROR(VLOOKUP(K79,【参考】数式用!$A$2:$M$57,MATCH(O79,【参考】数式用!$G$3:$M$3,0)+6,0),"")</f>
        <v/>
      </c>
      <c r="Q79" s="310" t="s">
        <v>118</v>
      </c>
      <c r="R79" s="308"/>
      <c r="S79" s="309" t="s">
        <v>183</v>
      </c>
      <c r="T79" s="308"/>
      <c r="U79" s="309" t="s">
        <v>184</v>
      </c>
      <c r="V79" s="308"/>
      <c r="W79" s="309" t="s">
        <v>183</v>
      </c>
      <c r="X79" s="308"/>
      <c r="Y79" s="309" t="s">
        <v>185</v>
      </c>
      <c r="Z79" s="309" t="s">
        <v>186</v>
      </c>
      <c r="AA79" s="309" t="str">
        <f t="shared" si="29"/>
        <v/>
      </c>
      <c r="AB79" s="305" t="s">
        <v>187</v>
      </c>
      <c r="AC79" s="306" t="str">
        <f t="shared" si="51"/>
        <v/>
      </c>
      <c r="AD79" s="515" t="str">
        <f t="shared" si="52"/>
        <v/>
      </c>
      <c r="AE79" s="307" t="str">
        <f>IFERROR(ROUNDDOWN(ROUNDDOWN(ROUND(L79*VLOOKUP(K79,【参考】数式用!$A$2:$M$57,MATCH("処遇改善加算Ⅳ",【参考】数式用!$G$3:$M$3,0)+6,0),0),0)*AA79*0.5,0), "")</f>
        <v/>
      </c>
      <c r="AF79" s="318"/>
      <c r="AG79" s="319"/>
      <c r="AH79" s="319"/>
      <c r="AI79" s="318"/>
      <c r="AJ79" s="320"/>
      <c r="AK79" s="326"/>
      <c r="AL79" s="324" t="str">
        <f t="shared" si="41"/>
        <v/>
      </c>
      <c r="AM79" s="325" t="str">
        <f t="shared" si="53"/>
        <v/>
      </c>
      <c r="AN79" s="255"/>
      <c r="AO79" s="557" t="str">
        <f>IFERROR(VLOOKUP(K79,【参考】数式用!$A$2:$N$57,14,FALSE),"")</f>
        <v/>
      </c>
      <c r="AP79" s="557" t="str">
        <f t="shared" si="54"/>
        <v/>
      </c>
      <c r="AQ79" s="561" t="str">
        <f t="shared" si="42"/>
        <v/>
      </c>
      <c r="AR79" s="561" t="str">
        <f t="shared" ref="AR79:AR113" si="70">"キャリアパス要件Ⅰ・Ⅱ_"&amp;AO79</f>
        <v>キャリアパス要件Ⅰ・Ⅱ_</v>
      </c>
      <c r="AS79" s="540" t="str">
        <f t="shared" si="43"/>
        <v>入力済</v>
      </c>
      <c r="AT79" s="557" t="str">
        <f t="shared" si="55"/>
        <v/>
      </c>
      <c r="AU79" s="540" t="str">
        <f t="shared" si="44"/>
        <v>入力済</v>
      </c>
      <c r="AV79" s="540" t="str">
        <f t="shared" si="45"/>
        <v/>
      </c>
      <c r="AW79" s="576" t="str">
        <f t="shared" si="56"/>
        <v/>
      </c>
      <c r="AX79" s="557" t="str">
        <f t="shared" si="46"/>
        <v/>
      </c>
      <c r="AY79" s="540" t="str">
        <f>IFERROR(VLOOKUP(K79,【参考】数式用!$AR$3:$AS$49, 2, FALSE), "")</f>
        <v/>
      </c>
      <c r="AZ79" s="557" t="str">
        <f t="shared" si="57"/>
        <v/>
      </c>
      <c r="BA79" s="560" t="str">
        <f t="shared" si="47"/>
        <v>入力済</v>
      </c>
      <c r="BB79" s="540" t="str">
        <f>IFERROR(VLOOKUP(K79,【参考】数式用!$AX$3:$AY$59, 2, FALSE), "")</f>
        <v/>
      </c>
      <c r="BC79" s="557" t="str">
        <f t="shared" si="58"/>
        <v/>
      </c>
      <c r="BD79" s="560" t="str">
        <f t="shared" si="48"/>
        <v>入力済</v>
      </c>
      <c r="BE79" s="560" t="str">
        <f t="shared" si="59"/>
        <v/>
      </c>
      <c r="BF79" s="560" t="str">
        <f t="shared" si="60"/>
        <v/>
      </c>
      <c r="BG79" s="560" t="str">
        <f t="shared" si="61"/>
        <v/>
      </c>
      <c r="BH79" s="560" t="str">
        <f t="shared" si="49"/>
        <v/>
      </c>
      <c r="BI79" s="560" t="str">
        <f t="shared" si="50"/>
        <v/>
      </c>
      <c r="BK79" s="27"/>
      <c r="BL79" s="607" t="str">
        <f t="shared" si="62"/>
        <v/>
      </c>
      <c r="BM79" s="607" t="str">
        <f t="shared" si="63"/>
        <v/>
      </c>
      <c r="BN79" s="607" t="str">
        <f t="shared" si="64"/>
        <v/>
      </c>
      <c r="BO79" s="608" t="str">
        <f>IF(BM79="","",ROUNDDOWN(L79*VLOOKUP(K79,【参考】数式用!$A$4:$J$42,10,FALSE)*AA79,0))</f>
        <v/>
      </c>
      <c r="BP79" s="607" t="str">
        <f t="shared" si="65"/>
        <v/>
      </c>
      <c r="BQ79" s="607" t="str">
        <f t="shared" si="66"/>
        <v/>
      </c>
      <c r="BR79" s="609" t="str">
        <f t="shared" si="67"/>
        <v/>
      </c>
      <c r="BS79" s="609" t="str">
        <f t="shared" si="68"/>
        <v/>
      </c>
      <c r="BT79" s="607" t="str">
        <f t="shared" si="69"/>
        <v/>
      </c>
      <c r="BU79" s="608" t="str">
        <f>IF(BT79="Ⅱロ有り",ROUNDDOWN(L79*VLOOKUP(K79,【参考】数式用!$A$4:$J$42,10,FALSE)*AA79,0),"")</f>
        <v/>
      </c>
      <c r="BV79" s="607" t="str">
        <f>IF(BT79="Ⅱロなし",ROUNDDOWN(L79*VLOOKUP(K79,【参考】数式用!$A$4:$J$42,8,FALSE)*AA79,0),"")</f>
        <v/>
      </c>
    </row>
    <row r="80" spans="1:74" ht="109.9" customHeight="1" thickBot="1">
      <c r="A80" s="303">
        <v>67</v>
      </c>
      <c r="B80" s="956" t="str">
        <f>IF(基本情報入力シート!B102="","",基本情報入力シート!B102)</f>
        <v/>
      </c>
      <c r="C80" s="957"/>
      <c r="D80" s="957"/>
      <c r="E80" s="957"/>
      <c r="F80" s="958"/>
      <c r="G80" s="304" t="str">
        <f>IF(基本情報入力シート!L102="", "", 基本情報入力シート!L102)</f>
        <v/>
      </c>
      <c r="H80" s="304" t="str">
        <f>IF(基本情報入力シート!Q102="", "", 基本情報入力シート!Q102)</f>
        <v/>
      </c>
      <c r="I80" s="304" t="str">
        <f>IF(基本情報入力シート!V102="", "", 基本情報入力シート!V102)</f>
        <v/>
      </c>
      <c r="J80" s="304" t="str">
        <f>IF(基本情報入力シート!W102="", "", 基本情報入力シート!W102)</f>
        <v/>
      </c>
      <c r="K80" s="304" t="str">
        <f>IF(基本情報入力シート!Z102="", "", 基本情報入力シート!Z102)</f>
        <v/>
      </c>
      <c r="L80" s="558" t="str">
        <f>IF(基本情報入力シート!AF102=0, "",基本情報入力シート!AF102)</f>
        <v/>
      </c>
      <c r="M80" s="524" t="str">
        <f>IF('別紙様式2-2（個票（４、５月））'!M80="","",'別紙様式2-2（個票（４、５月））'!M80)</f>
        <v/>
      </c>
      <c r="N80" s="523" t="str">
        <f>IF('別紙様式2-2（個票（４、５月））'!N80="","",'別紙様式2-2（個票（４、５月））'!N80)</f>
        <v/>
      </c>
      <c r="O80" s="286"/>
      <c r="P80" s="555" t="str">
        <f>IFERROR(VLOOKUP(K80,【参考】数式用!$A$2:$M$57,MATCH(O80,【参考】数式用!$G$3:$M$3,0)+6,0),"")</f>
        <v/>
      </c>
      <c r="Q80" s="310" t="s">
        <v>118</v>
      </c>
      <c r="R80" s="308"/>
      <c r="S80" s="309" t="s">
        <v>183</v>
      </c>
      <c r="T80" s="308"/>
      <c r="U80" s="309" t="s">
        <v>184</v>
      </c>
      <c r="V80" s="308"/>
      <c r="W80" s="309" t="s">
        <v>183</v>
      </c>
      <c r="X80" s="308"/>
      <c r="Y80" s="309" t="s">
        <v>120</v>
      </c>
      <c r="Z80" s="309" t="s">
        <v>186</v>
      </c>
      <c r="AA80" s="309" t="str">
        <f t="shared" ref="AA80:AA113" si="71">IF(R80&gt;=1,(V80*12+X80)-(R80*12+T80)+1,"")</f>
        <v/>
      </c>
      <c r="AB80" s="305" t="s">
        <v>187</v>
      </c>
      <c r="AC80" s="306" t="str">
        <f t="shared" si="51"/>
        <v/>
      </c>
      <c r="AD80" s="515" t="str">
        <f t="shared" si="52"/>
        <v/>
      </c>
      <c r="AE80" s="307" t="str">
        <f>IFERROR(ROUNDDOWN(ROUNDDOWN(ROUND(L80*VLOOKUP(K80,【参考】数式用!$A$2:$M$57,MATCH("処遇改善加算Ⅳ",【参考】数式用!$G$3:$M$3,0)+6,0),0),0)*AA80*0.5,0), "")</f>
        <v/>
      </c>
      <c r="AF80" s="318"/>
      <c r="AG80" s="319"/>
      <c r="AH80" s="319"/>
      <c r="AI80" s="318"/>
      <c r="AJ80" s="320"/>
      <c r="AK80" s="326"/>
      <c r="AL80" s="324" t="str">
        <f t="shared" si="41"/>
        <v/>
      </c>
      <c r="AM80" s="325" t="str">
        <f t="shared" si="53"/>
        <v/>
      </c>
      <c r="AN80" s="255"/>
      <c r="AO80" s="557" t="str">
        <f>IFERROR(VLOOKUP(K80,【参考】数式用!$A$2:$N$57,14,FALSE),"")</f>
        <v/>
      </c>
      <c r="AP80" s="557" t="str">
        <f t="shared" si="54"/>
        <v/>
      </c>
      <c r="AQ80" s="561" t="str">
        <f t="shared" si="42"/>
        <v/>
      </c>
      <c r="AR80" s="561" t="str">
        <f t="shared" si="70"/>
        <v>キャリアパス要件Ⅰ・Ⅱ_</v>
      </c>
      <c r="AS80" s="540" t="str">
        <f t="shared" si="43"/>
        <v>入力済</v>
      </c>
      <c r="AT80" s="557" t="str">
        <f t="shared" si="55"/>
        <v/>
      </c>
      <c r="AU80" s="540" t="str">
        <f t="shared" si="44"/>
        <v>入力済</v>
      </c>
      <c r="AV80" s="540" t="str">
        <f t="shared" si="45"/>
        <v/>
      </c>
      <c r="AW80" s="576" t="str">
        <f t="shared" si="56"/>
        <v/>
      </c>
      <c r="AX80" s="557" t="str">
        <f t="shared" si="46"/>
        <v/>
      </c>
      <c r="AY80" s="540" t="str">
        <f>IFERROR(VLOOKUP(K80,【参考】数式用!$AR$3:$AS$49, 2, FALSE), "")</f>
        <v/>
      </c>
      <c r="AZ80" s="557" t="str">
        <f t="shared" si="57"/>
        <v/>
      </c>
      <c r="BA80" s="560" t="str">
        <f t="shared" si="47"/>
        <v>入力済</v>
      </c>
      <c r="BB80" s="540" t="str">
        <f>IFERROR(VLOOKUP(K80,【参考】数式用!$AX$3:$AY$59, 2, FALSE), "")</f>
        <v/>
      </c>
      <c r="BC80" s="557" t="str">
        <f t="shared" si="58"/>
        <v/>
      </c>
      <c r="BD80" s="560" t="str">
        <f t="shared" si="48"/>
        <v>入力済</v>
      </c>
      <c r="BE80" s="560" t="str">
        <f t="shared" si="59"/>
        <v/>
      </c>
      <c r="BF80" s="560" t="str">
        <f t="shared" si="60"/>
        <v/>
      </c>
      <c r="BG80" s="560" t="str">
        <f t="shared" si="61"/>
        <v/>
      </c>
      <c r="BH80" s="560" t="str">
        <f t="shared" si="49"/>
        <v/>
      </c>
      <c r="BI80" s="560" t="str">
        <f t="shared" si="50"/>
        <v/>
      </c>
      <c r="BK80" s="27"/>
      <c r="BL80" s="607" t="str">
        <f t="shared" si="62"/>
        <v/>
      </c>
      <c r="BM80" s="607" t="str">
        <f t="shared" si="63"/>
        <v/>
      </c>
      <c r="BN80" s="607" t="str">
        <f t="shared" si="64"/>
        <v/>
      </c>
      <c r="BO80" s="608" t="str">
        <f>IF(BM80="","",ROUNDDOWN(L80*VLOOKUP(K80,【参考】数式用!$A$4:$J$42,10,FALSE)*AA80,0))</f>
        <v/>
      </c>
      <c r="BP80" s="607" t="str">
        <f t="shared" si="65"/>
        <v/>
      </c>
      <c r="BQ80" s="607" t="str">
        <f t="shared" si="66"/>
        <v/>
      </c>
      <c r="BR80" s="609" t="str">
        <f t="shared" si="67"/>
        <v/>
      </c>
      <c r="BS80" s="609" t="str">
        <f t="shared" si="68"/>
        <v/>
      </c>
      <c r="BT80" s="607" t="str">
        <f t="shared" si="69"/>
        <v/>
      </c>
      <c r="BU80" s="608" t="str">
        <f>IF(BT80="Ⅱロ有り",ROUNDDOWN(L80*VLOOKUP(K80,【参考】数式用!$A$4:$J$42,10,FALSE)*AA80,0),"")</f>
        <v/>
      </c>
      <c r="BV80" s="607" t="str">
        <f>IF(BT80="Ⅱロなし",ROUNDDOWN(L80*VLOOKUP(K80,【参考】数式用!$A$4:$J$42,8,FALSE)*AA80,0),"")</f>
        <v/>
      </c>
    </row>
    <row r="81" spans="1:74" ht="109.9" customHeight="1" thickBot="1">
      <c r="A81" s="303">
        <v>68</v>
      </c>
      <c r="B81" s="956" t="str">
        <f>IF(基本情報入力シート!B103="","",基本情報入力シート!B103)</f>
        <v/>
      </c>
      <c r="C81" s="957"/>
      <c r="D81" s="957"/>
      <c r="E81" s="957"/>
      <c r="F81" s="958"/>
      <c r="G81" s="304" t="str">
        <f>IF(基本情報入力シート!L103="", "", 基本情報入力シート!L103)</f>
        <v/>
      </c>
      <c r="H81" s="304" t="str">
        <f>IF(基本情報入力シート!Q103="", "", 基本情報入力シート!Q103)</f>
        <v/>
      </c>
      <c r="I81" s="304" t="str">
        <f>IF(基本情報入力シート!V103="", "", 基本情報入力シート!V103)</f>
        <v/>
      </c>
      <c r="J81" s="304" t="str">
        <f>IF(基本情報入力シート!W103="", "", 基本情報入力シート!W103)</f>
        <v/>
      </c>
      <c r="K81" s="304" t="str">
        <f>IF(基本情報入力シート!Z103="", "", 基本情報入力シート!Z103)</f>
        <v/>
      </c>
      <c r="L81" s="558" t="str">
        <f>IF(基本情報入力シート!AF103=0, "",基本情報入力シート!AF103)</f>
        <v/>
      </c>
      <c r="M81" s="524" t="str">
        <f>IF('別紙様式2-2（個票（４、５月））'!M81="","",'別紙様式2-2（個票（４、５月））'!M81)</f>
        <v/>
      </c>
      <c r="N81" s="523" t="str">
        <f>IF('別紙様式2-2（個票（４、５月））'!N81="","",'別紙様式2-2（個票（４、５月））'!N81)</f>
        <v/>
      </c>
      <c r="O81" s="286"/>
      <c r="P81" s="555" t="str">
        <f>IFERROR(VLOOKUP(K81,【参考】数式用!$A$2:$M$57,MATCH(O81,【参考】数式用!$G$3:$M$3,0)+6,0),"")</f>
        <v/>
      </c>
      <c r="Q81" s="310" t="s">
        <v>118</v>
      </c>
      <c r="R81" s="308"/>
      <c r="S81" s="309" t="s">
        <v>183</v>
      </c>
      <c r="T81" s="308"/>
      <c r="U81" s="309" t="s">
        <v>184</v>
      </c>
      <c r="V81" s="308"/>
      <c r="W81" s="309" t="s">
        <v>183</v>
      </c>
      <c r="X81" s="308"/>
      <c r="Y81" s="309" t="s">
        <v>120</v>
      </c>
      <c r="Z81" s="309" t="s">
        <v>186</v>
      </c>
      <c r="AA81" s="309" t="str">
        <f t="shared" si="71"/>
        <v/>
      </c>
      <c r="AB81" s="305" t="s">
        <v>187</v>
      </c>
      <c r="AC81" s="306" t="str">
        <f t="shared" si="51"/>
        <v/>
      </c>
      <c r="AD81" s="515" t="str">
        <f t="shared" si="52"/>
        <v/>
      </c>
      <c r="AE81" s="307" t="str">
        <f>IFERROR(ROUNDDOWN(ROUNDDOWN(ROUND(L81*VLOOKUP(K81,【参考】数式用!$A$2:$M$57,MATCH("処遇改善加算Ⅳ",【参考】数式用!$G$3:$M$3,0)+6,0),0),0)*AA81*0.5,0), "")</f>
        <v/>
      </c>
      <c r="AF81" s="318"/>
      <c r="AG81" s="319"/>
      <c r="AH81" s="319"/>
      <c r="AI81" s="318"/>
      <c r="AJ81" s="320"/>
      <c r="AK81" s="326"/>
      <c r="AL81" s="324" t="str">
        <f t="shared" si="41"/>
        <v/>
      </c>
      <c r="AM81" s="325" t="str">
        <f t="shared" si="53"/>
        <v/>
      </c>
      <c r="AN81" s="255"/>
      <c r="AO81" s="557" t="str">
        <f>IFERROR(VLOOKUP(K81,【参考】数式用!$A$2:$N$57,14,FALSE),"")</f>
        <v/>
      </c>
      <c r="AP81" s="557" t="str">
        <f t="shared" si="54"/>
        <v/>
      </c>
      <c r="AQ81" s="561" t="str">
        <f t="shared" si="42"/>
        <v/>
      </c>
      <c r="AR81" s="561" t="str">
        <f t="shared" si="70"/>
        <v>キャリアパス要件Ⅰ・Ⅱ_</v>
      </c>
      <c r="AS81" s="540" t="str">
        <f t="shared" si="43"/>
        <v>入力済</v>
      </c>
      <c r="AT81" s="557" t="str">
        <f t="shared" si="55"/>
        <v/>
      </c>
      <c r="AU81" s="540" t="str">
        <f t="shared" si="44"/>
        <v>入力済</v>
      </c>
      <c r="AV81" s="540" t="str">
        <f t="shared" si="45"/>
        <v/>
      </c>
      <c r="AW81" s="576" t="str">
        <f t="shared" si="56"/>
        <v/>
      </c>
      <c r="AX81" s="557" t="str">
        <f t="shared" si="46"/>
        <v/>
      </c>
      <c r="AY81" s="540" t="str">
        <f>IFERROR(VLOOKUP(K81,【参考】数式用!$AR$3:$AS$49, 2, FALSE), "")</f>
        <v/>
      </c>
      <c r="AZ81" s="557" t="str">
        <f t="shared" si="57"/>
        <v/>
      </c>
      <c r="BA81" s="560" t="str">
        <f t="shared" si="47"/>
        <v>入力済</v>
      </c>
      <c r="BB81" s="540" t="str">
        <f>IFERROR(VLOOKUP(K81,【参考】数式用!$AX$3:$AY$59, 2, FALSE), "")</f>
        <v/>
      </c>
      <c r="BC81" s="557" t="str">
        <f t="shared" si="58"/>
        <v/>
      </c>
      <c r="BD81" s="560" t="str">
        <f t="shared" si="48"/>
        <v>入力済</v>
      </c>
      <c r="BE81" s="560" t="str">
        <f t="shared" si="59"/>
        <v/>
      </c>
      <c r="BF81" s="560" t="str">
        <f t="shared" si="60"/>
        <v/>
      </c>
      <c r="BG81" s="560" t="str">
        <f t="shared" si="61"/>
        <v/>
      </c>
      <c r="BH81" s="560" t="str">
        <f t="shared" si="49"/>
        <v/>
      </c>
      <c r="BI81" s="560" t="str">
        <f t="shared" si="50"/>
        <v/>
      </c>
      <c r="BK81" s="27"/>
      <c r="BL81" s="607" t="str">
        <f t="shared" si="62"/>
        <v/>
      </c>
      <c r="BM81" s="607" t="str">
        <f t="shared" si="63"/>
        <v/>
      </c>
      <c r="BN81" s="607" t="str">
        <f t="shared" si="64"/>
        <v/>
      </c>
      <c r="BO81" s="608" t="str">
        <f>IF(BM81="","",ROUNDDOWN(L81*VLOOKUP(K81,【参考】数式用!$A$4:$J$42,10,FALSE)*AA81,0))</f>
        <v/>
      </c>
      <c r="BP81" s="607" t="str">
        <f t="shared" si="65"/>
        <v/>
      </c>
      <c r="BQ81" s="607" t="str">
        <f t="shared" si="66"/>
        <v/>
      </c>
      <c r="BR81" s="609" t="str">
        <f t="shared" si="67"/>
        <v/>
      </c>
      <c r="BS81" s="609" t="str">
        <f t="shared" si="68"/>
        <v/>
      </c>
      <c r="BT81" s="607" t="str">
        <f t="shared" si="69"/>
        <v/>
      </c>
      <c r="BU81" s="608" t="str">
        <f>IF(BT81="Ⅱロ有り",ROUNDDOWN(L81*VLOOKUP(K81,【参考】数式用!$A$4:$J$42,10,FALSE)*AA81,0),"")</f>
        <v/>
      </c>
      <c r="BV81" s="607" t="str">
        <f>IF(BT81="Ⅱロなし",ROUNDDOWN(L81*VLOOKUP(K81,【参考】数式用!$A$4:$J$42,8,FALSE)*AA81,0),"")</f>
        <v/>
      </c>
    </row>
    <row r="82" spans="1:74" ht="109.9" customHeight="1" thickBot="1">
      <c r="A82" s="303">
        <v>69</v>
      </c>
      <c r="B82" s="956" t="str">
        <f>IF(基本情報入力シート!B104="","",基本情報入力シート!B104)</f>
        <v/>
      </c>
      <c r="C82" s="957"/>
      <c r="D82" s="957"/>
      <c r="E82" s="957"/>
      <c r="F82" s="958"/>
      <c r="G82" s="304" t="str">
        <f>IF(基本情報入力シート!L104="", "", 基本情報入力シート!L104)</f>
        <v/>
      </c>
      <c r="H82" s="304" t="str">
        <f>IF(基本情報入力シート!Q104="", "", 基本情報入力シート!Q104)</f>
        <v/>
      </c>
      <c r="I82" s="304" t="str">
        <f>IF(基本情報入力シート!V104="", "", 基本情報入力シート!V104)</f>
        <v/>
      </c>
      <c r="J82" s="304" t="str">
        <f>IF(基本情報入力シート!W104="", "", 基本情報入力シート!W104)</f>
        <v/>
      </c>
      <c r="K82" s="304" t="str">
        <f>IF(基本情報入力シート!Z104="", "", 基本情報入力シート!Z104)</f>
        <v/>
      </c>
      <c r="L82" s="558" t="str">
        <f>IF(基本情報入力シート!AF104=0, "",基本情報入力シート!AF104)</f>
        <v/>
      </c>
      <c r="M82" s="524" t="str">
        <f>IF('別紙様式2-2（個票（４、５月））'!M82="","",'別紙様式2-2（個票（４、５月））'!M82)</f>
        <v/>
      </c>
      <c r="N82" s="523" t="str">
        <f>IF('別紙様式2-2（個票（４、５月））'!N82="","",'別紙様式2-2（個票（４、５月））'!N82)</f>
        <v/>
      </c>
      <c r="O82" s="286"/>
      <c r="P82" s="555" t="str">
        <f>IFERROR(VLOOKUP(K82,【参考】数式用!$A$2:$M$57,MATCH(O82,【参考】数式用!$G$3:$M$3,0)+6,0),"")</f>
        <v/>
      </c>
      <c r="Q82" s="310" t="s">
        <v>118</v>
      </c>
      <c r="R82" s="308"/>
      <c r="S82" s="309" t="s">
        <v>183</v>
      </c>
      <c r="T82" s="308"/>
      <c r="U82" s="309" t="s">
        <v>184</v>
      </c>
      <c r="V82" s="308"/>
      <c r="W82" s="309" t="s">
        <v>183</v>
      </c>
      <c r="X82" s="308"/>
      <c r="Y82" s="309" t="s">
        <v>185</v>
      </c>
      <c r="Z82" s="309" t="s">
        <v>186</v>
      </c>
      <c r="AA82" s="309" t="str">
        <f t="shared" si="71"/>
        <v/>
      </c>
      <c r="AB82" s="305" t="s">
        <v>187</v>
      </c>
      <c r="AC82" s="306" t="str">
        <f t="shared" si="51"/>
        <v/>
      </c>
      <c r="AD82" s="515" t="str">
        <f t="shared" si="52"/>
        <v/>
      </c>
      <c r="AE82" s="307" t="str">
        <f>IFERROR(ROUNDDOWN(ROUNDDOWN(ROUND(L82*VLOOKUP(K82,【参考】数式用!$A$2:$M$57,MATCH("処遇改善加算Ⅳ",【参考】数式用!$G$3:$M$3,0)+6,0),0),0)*AA82*0.5,0), "")</f>
        <v/>
      </c>
      <c r="AF82" s="318"/>
      <c r="AG82" s="319"/>
      <c r="AH82" s="319"/>
      <c r="AI82" s="318"/>
      <c r="AJ82" s="320"/>
      <c r="AK82" s="326"/>
      <c r="AL82" s="324" t="str">
        <f t="shared" si="41"/>
        <v/>
      </c>
      <c r="AM82" s="325" t="str">
        <f t="shared" si="53"/>
        <v/>
      </c>
      <c r="AN82" s="255"/>
      <c r="AO82" s="557" t="str">
        <f>IFERROR(VLOOKUP(K82,【参考】数式用!$A$2:$N$57,14,FALSE),"")</f>
        <v/>
      </c>
      <c r="AP82" s="557" t="str">
        <f t="shared" si="54"/>
        <v/>
      </c>
      <c r="AQ82" s="561" t="str">
        <f t="shared" si="42"/>
        <v/>
      </c>
      <c r="AR82" s="561" t="str">
        <f t="shared" si="70"/>
        <v>キャリアパス要件Ⅰ・Ⅱ_</v>
      </c>
      <c r="AS82" s="540" t="str">
        <f t="shared" si="43"/>
        <v>入力済</v>
      </c>
      <c r="AT82" s="557" t="str">
        <f t="shared" si="55"/>
        <v/>
      </c>
      <c r="AU82" s="540" t="str">
        <f t="shared" si="44"/>
        <v>入力済</v>
      </c>
      <c r="AV82" s="540" t="str">
        <f t="shared" si="45"/>
        <v/>
      </c>
      <c r="AW82" s="576" t="str">
        <f t="shared" si="56"/>
        <v/>
      </c>
      <c r="AX82" s="557" t="str">
        <f t="shared" si="46"/>
        <v/>
      </c>
      <c r="AY82" s="540" t="str">
        <f>IFERROR(VLOOKUP(K82,【参考】数式用!$AR$3:$AS$49, 2, FALSE), "")</f>
        <v/>
      </c>
      <c r="AZ82" s="557" t="str">
        <f t="shared" si="57"/>
        <v/>
      </c>
      <c r="BA82" s="560" t="str">
        <f t="shared" si="47"/>
        <v>入力済</v>
      </c>
      <c r="BB82" s="540" t="str">
        <f>IFERROR(VLOOKUP(K82,【参考】数式用!$AX$3:$AY$59, 2, FALSE), "")</f>
        <v/>
      </c>
      <c r="BC82" s="557" t="str">
        <f t="shared" si="58"/>
        <v/>
      </c>
      <c r="BD82" s="560" t="str">
        <f t="shared" si="48"/>
        <v>入力済</v>
      </c>
      <c r="BE82" s="560" t="str">
        <f t="shared" si="59"/>
        <v/>
      </c>
      <c r="BF82" s="560" t="str">
        <f t="shared" si="60"/>
        <v/>
      </c>
      <c r="BG82" s="560" t="str">
        <f t="shared" si="61"/>
        <v/>
      </c>
      <c r="BH82" s="560" t="str">
        <f t="shared" si="49"/>
        <v/>
      </c>
      <c r="BI82" s="560" t="str">
        <f t="shared" si="50"/>
        <v/>
      </c>
      <c r="BK82" s="27"/>
      <c r="BL82" s="607" t="str">
        <f t="shared" si="62"/>
        <v/>
      </c>
      <c r="BM82" s="607" t="str">
        <f t="shared" si="63"/>
        <v/>
      </c>
      <c r="BN82" s="607" t="str">
        <f t="shared" si="64"/>
        <v/>
      </c>
      <c r="BO82" s="608" t="str">
        <f>IF(BM82="","",ROUNDDOWN(L82*VLOOKUP(K82,【参考】数式用!$A$4:$J$42,10,FALSE)*AA82,0))</f>
        <v/>
      </c>
      <c r="BP82" s="607" t="str">
        <f t="shared" si="65"/>
        <v/>
      </c>
      <c r="BQ82" s="607" t="str">
        <f t="shared" si="66"/>
        <v/>
      </c>
      <c r="BR82" s="609" t="str">
        <f t="shared" si="67"/>
        <v/>
      </c>
      <c r="BS82" s="609" t="str">
        <f t="shared" si="68"/>
        <v/>
      </c>
      <c r="BT82" s="607" t="str">
        <f t="shared" si="69"/>
        <v/>
      </c>
      <c r="BU82" s="608" t="str">
        <f>IF(BT82="Ⅱロ有り",ROUNDDOWN(L82*VLOOKUP(K82,【参考】数式用!$A$4:$J$42,10,FALSE)*AA82,0),"")</f>
        <v/>
      </c>
      <c r="BV82" s="607" t="str">
        <f>IF(BT82="Ⅱロなし",ROUNDDOWN(L82*VLOOKUP(K82,【参考】数式用!$A$4:$J$42,8,FALSE)*AA82,0),"")</f>
        <v/>
      </c>
    </row>
    <row r="83" spans="1:74" ht="109.9" customHeight="1" thickBot="1">
      <c r="A83" s="303">
        <v>70</v>
      </c>
      <c r="B83" s="956" t="str">
        <f>IF(基本情報入力シート!B105="","",基本情報入力シート!B105)</f>
        <v/>
      </c>
      <c r="C83" s="957"/>
      <c r="D83" s="957"/>
      <c r="E83" s="957"/>
      <c r="F83" s="958"/>
      <c r="G83" s="304" t="str">
        <f>IF(基本情報入力シート!L105="", "", 基本情報入力シート!L105)</f>
        <v/>
      </c>
      <c r="H83" s="304" t="str">
        <f>IF(基本情報入力シート!Q105="", "", 基本情報入力シート!Q105)</f>
        <v/>
      </c>
      <c r="I83" s="304" t="str">
        <f>IF(基本情報入力シート!V105="", "", 基本情報入力シート!V105)</f>
        <v/>
      </c>
      <c r="J83" s="304" t="str">
        <f>IF(基本情報入力シート!W105="", "", 基本情報入力シート!W105)</f>
        <v/>
      </c>
      <c r="K83" s="304" t="str">
        <f>IF(基本情報入力シート!Z105="", "", 基本情報入力シート!Z105)</f>
        <v/>
      </c>
      <c r="L83" s="558" t="str">
        <f>IF(基本情報入力シート!AF105=0, "",基本情報入力シート!AF105)</f>
        <v/>
      </c>
      <c r="M83" s="524" t="str">
        <f>IF('別紙様式2-2（個票（４、５月））'!M83="","",'別紙様式2-2（個票（４、５月））'!M83)</f>
        <v/>
      </c>
      <c r="N83" s="523" t="str">
        <f>IF('別紙様式2-2（個票（４、５月））'!N83="","",'別紙様式2-2（個票（４、５月））'!N83)</f>
        <v/>
      </c>
      <c r="O83" s="286"/>
      <c r="P83" s="555" t="str">
        <f>IFERROR(VLOOKUP(K83,【参考】数式用!$A$2:$M$57,MATCH(O83,【参考】数式用!$G$3:$M$3,0)+6,0),"")</f>
        <v/>
      </c>
      <c r="Q83" s="310" t="s">
        <v>118</v>
      </c>
      <c r="R83" s="308"/>
      <c r="S83" s="309" t="s">
        <v>183</v>
      </c>
      <c r="T83" s="308"/>
      <c r="U83" s="309" t="s">
        <v>184</v>
      </c>
      <c r="V83" s="308"/>
      <c r="W83" s="309" t="s">
        <v>183</v>
      </c>
      <c r="X83" s="308"/>
      <c r="Y83" s="309" t="s">
        <v>185</v>
      </c>
      <c r="Z83" s="309" t="s">
        <v>186</v>
      </c>
      <c r="AA83" s="309" t="str">
        <f t="shared" si="71"/>
        <v/>
      </c>
      <c r="AB83" s="305" t="s">
        <v>187</v>
      </c>
      <c r="AC83" s="306" t="str">
        <f t="shared" si="51"/>
        <v/>
      </c>
      <c r="AD83" s="515" t="str">
        <f t="shared" si="52"/>
        <v/>
      </c>
      <c r="AE83" s="307" t="str">
        <f>IFERROR(ROUNDDOWN(ROUNDDOWN(ROUND(L83*VLOOKUP(K83,【参考】数式用!$A$2:$M$57,MATCH("処遇改善加算Ⅳ",【参考】数式用!$G$3:$M$3,0)+6,0),0),0)*AA83*0.5,0), "")</f>
        <v/>
      </c>
      <c r="AF83" s="318"/>
      <c r="AG83" s="319"/>
      <c r="AH83" s="319"/>
      <c r="AI83" s="318"/>
      <c r="AJ83" s="320"/>
      <c r="AK83" s="326"/>
      <c r="AL83" s="324" t="str">
        <f t="shared" si="41"/>
        <v/>
      </c>
      <c r="AM83" s="325" t="str">
        <f t="shared" si="53"/>
        <v/>
      </c>
      <c r="AN83" s="255"/>
      <c r="AO83" s="557" t="str">
        <f>IFERROR(VLOOKUP(K83,【参考】数式用!$A$2:$N$57,14,FALSE),"")</f>
        <v/>
      </c>
      <c r="AP83" s="557" t="str">
        <f t="shared" si="54"/>
        <v/>
      </c>
      <c r="AQ83" s="561" t="str">
        <f t="shared" si="42"/>
        <v/>
      </c>
      <c r="AR83" s="561" t="str">
        <f t="shared" si="70"/>
        <v>キャリアパス要件Ⅰ・Ⅱ_</v>
      </c>
      <c r="AS83" s="540" t="str">
        <f t="shared" si="43"/>
        <v>入力済</v>
      </c>
      <c r="AT83" s="557" t="str">
        <f t="shared" si="55"/>
        <v/>
      </c>
      <c r="AU83" s="540" t="str">
        <f t="shared" si="44"/>
        <v>入力済</v>
      </c>
      <c r="AV83" s="540" t="str">
        <f t="shared" si="45"/>
        <v/>
      </c>
      <c r="AW83" s="576" t="str">
        <f t="shared" si="56"/>
        <v/>
      </c>
      <c r="AX83" s="557" t="str">
        <f t="shared" si="46"/>
        <v/>
      </c>
      <c r="AY83" s="540" t="str">
        <f>IFERROR(VLOOKUP(K83,【参考】数式用!$AR$3:$AS$49, 2, FALSE), "")</f>
        <v/>
      </c>
      <c r="AZ83" s="557" t="str">
        <f t="shared" si="57"/>
        <v/>
      </c>
      <c r="BA83" s="560" t="str">
        <f t="shared" si="47"/>
        <v>入力済</v>
      </c>
      <c r="BB83" s="540" t="str">
        <f>IFERROR(VLOOKUP(K83,【参考】数式用!$AX$3:$AY$59, 2, FALSE), "")</f>
        <v/>
      </c>
      <c r="BC83" s="557" t="str">
        <f t="shared" si="58"/>
        <v/>
      </c>
      <c r="BD83" s="560" t="str">
        <f t="shared" si="48"/>
        <v>入力済</v>
      </c>
      <c r="BE83" s="560" t="str">
        <f t="shared" si="59"/>
        <v/>
      </c>
      <c r="BF83" s="560" t="str">
        <f t="shared" si="60"/>
        <v/>
      </c>
      <c r="BG83" s="560" t="str">
        <f t="shared" si="61"/>
        <v/>
      </c>
      <c r="BH83" s="560" t="str">
        <f t="shared" si="49"/>
        <v/>
      </c>
      <c r="BI83" s="560" t="str">
        <f t="shared" si="50"/>
        <v/>
      </c>
      <c r="BK83" s="27"/>
      <c r="BL83" s="607" t="str">
        <f t="shared" si="62"/>
        <v/>
      </c>
      <c r="BM83" s="607" t="str">
        <f t="shared" si="63"/>
        <v/>
      </c>
      <c r="BN83" s="607" t="str">
        <f t="shared" si="64"/>
        <v/>
      </c>
      <c r="BO83" s="608" t="str">
        <f>IF(BM83="","",ROUNDDOWN(L83*VLOOKUP(K83,【参考】数式用!$A$4:$J$42,10,FALSE)*AA83,0))</f>
        <v/>
      </c>
      <c r="BP83" s="607" t="str">
        <f t="shared" si="65"/>
        <v/>
      </c>
      <c r="BQ83" s="607" t="str">
        <f t="shared" si="66"/>
        <v/>
      </c>
      <c r="BR83" s="609" t="str">
        <f t="shared" si="67"/>
        <v/>
      </c>
      <c r="BS83" s="609" t="str">
        <f t="shared" si="68"/>
        <v/>
      </c>
      <c r="BT83" s="607" t="str">
        <f t="shared" si="69"/>
        <v/>
      </c>
      <c r="BU83" s="608" t="str">
        <f>IF(BT83="Ⅱロ有り",ROUNDDOWN(L83*VLOOKUP(K83,【参考】数式用!$A$4:$J$42,10,FALSE)*AA83,0),"")</f>
        <v/>
      </c>
      <c r="BV83" s="607" t="str">
        <f>IF(BT83="Ⅱロなし",ROUNDDOWN(L83*VLOOKUP(K83,【参考】数式用!$A$4:$J$42,8,FALSE)*AA83,0),"")</f>
        <v/>
      </c>
    </row>
    <row r="84" spans="1:74" ht="109.9" customHeight="1" thickBot="1">
      <c r="A84" s="303">
        <v>71</v>
      </c>
      <c r="B84" s="956" t="str">
        <f>IF(基本情報入力シート!B106="","",基本情報入力シート!B106)</f>
        <v/>
      </c>
      <c r="C84" s="957"/>
      <c r="D84" s="957"/>
      <c r="E84" s="957"/>
      <c r="F84" s="958"/>
      <c r="G84" s="304" t="str">
        <f>IF(基本情報入力シート!L106="", "", 基本情報入力シート!L106)</f>
        <v/>
      </c>
      <c r="H84" s="304" t="str">
        <f>IF(基本情報入力シート!Q106="", "", 基本情報入力シート!Q106)</f>
        <v/>
      </c>
      <c r="I84" s="304" t="str">
        <f>IF(基本情報入力シート!V106="", "", 基本情報入力シート!V106)</f>
        <v/>
      </c>
      <c r="J84" s="304" t="str">
        <f>IF(基本情報入力シート!W106="", "", 基本情報入力シート!W106)</f>
        <v/>
      </c>
      <c r="K84" s="304" t="str">
        <f>IF(基本情報入力シート!Z106="", "", 基本情報入力シート!Z106)</f>
        <v/>
      </c>
      <c r="L84" s="558" t="str">
        <f>IF(基本情報入力シート!AF106=0, "",基本情報入力シート!AF106)</f>
        <v/>
      </c>
      <c r="M84" s="524" t="str">
        <f>IF('別紙様式2-2（個票（４、５月））'!M84="","",'別紙様式2-2（個票（４、５月））'!M84)</f>
        <v/>
      </c>
      <c r="N84" s="523" t="str">
        <f>IF('別紙様式2-2（個票（４、５月））'!N84="","",'別紙様式2-2（個票（４、５月））'!N84)</f>
        <v/>
      </c>
      <c r="O84" s="286"/>
      <c r="P84" s="555" t="str">
        <f>IFERROR(VLOOKUP(K84,【参考】数式用!$A$2:$M$57,MATCH(O84,【参考】数式用!$G$3:$M$3,0)+6,0),"")</f>
        <v/>
      </c>
      <c r="Q84" s="310" t="s">
        <v>118</v>
      </c>
      <c r="R84" s="308"/>
      <c r="S84" s="309" t="s">
        <v>183</v>
      </c>
      <c r="T84" s="308"/>
      <c r="U84" s="309" t="s">
        <v>184</v>
      </c>
      <c r="V84" s="308"/>
      <c r="W84" s="309" t="s">
        <v>183</v>
      </c>
      <c r="X84" s="308"/>
      <c r="Y84" s="309" t="s">
        <v>185</v>
      </c>
      <c r="Z84" s="309" t="s">
        <v>186</v>
      </c>
      <c r="AA84" s="309" t="str">
        <f t="shared" si="71"/>
        <v/>
      </c>
      <c r="AB84" s="305" t="s">
        <v>187</v>
      </c>
      <c r="AC84" s="306" t="str">
        <f t="shared" si="51"/>
        <v/>
      </c>
      <c r="AD84" s="515" t="str">
        <f t="shared" si="52"/>
        <v/>
      </c>
      <c r="AE84" s="307" t="str">
        <f>IFERROR(ROUNDDOWN(ROUNDDOWN(ROUND(L84*VLOOKUP(K84,【参考】数式用!$A$2:$M$57,MATCH("処遇改善加算Ⅳ",【参考】数式用!$G$3:$M$3,0)+6,0),0),0)*AA84*0.5,0), "")</f>
        <v/>
      </c>
      <c r="AF84" s="318"/>
      <c r="AG84" s="319"/>
      <c r="AH84" s="319"/>
      <c r="AI84" s="318"/>
      <c r="AJ84" s="320"/>
      <c r="AK84" s="326"/>
      <c r="AL84" s="324" t="str">
        <f t="shared" si="41"/>
        <v/>
      </c>
      <c r="AM84" s="325" t="str">
        <f t="shared" si="53"/>
        <v/>
      </c>
      <c r="AN84" s="255"/>
      <c r="AO84" s="557" t="str">
        <f>IFERROR(VLOOKUP(K84,【参考】数式用!$A$2:$N$57,14,FALSE),"")</f>
        <v/>
      </c>
      <c r="AP84" s="557" t="str">
        <f t="shared" si="54"/>
        <v/>
      </c>
      <c r="AQ84" s="561" t="str">
        <f t="shared" si="42"/>
        <v/>
      </c>
      <c r="AR84" s="561" t="str">
        <f t="shared" si="70"/>
        <v>キャリアパス要件Ⅰ・Ⅱ_</v>
      </c>
      <c r="AS84" s="540" t="str">
        <f t="shared" si="43"/>
        <v>入力済</v>
      </c>
      <c r="AT84" s="557" t="str">
        <f t="shared" si="55"/>
        <v/>
      </c>
      <c r="AU84" s="540" t="str">
        <f t="shared" si="44"/>
        <v>入力済</v>
      </c>
      <c r="AV84" s="540" t="str">
        <f t="shared" si="45"/>
        <v/>
      </c>
      <c r="AW84" s="576" t="str">
        <f t="shared" si="56"/>
        <v/>
      </c>
      <c r="AX84" s="557" t="str">
        <f t="shared" si="46"/>
        <v/>
      </c>
      <c r="AY84" s="540" t="str">
        <f>IFERROR(VLOOKUP(K84,【参考】数式用!$AR$3:$AS$49, 2, FALSE), "")</f>
        <v/>
      </c>
      <c r="AZ84" s="557" t="str">
        <f t="shared" si="57"/>
        <v/>
      </c>
      <c r="BA84" s="560" t="str">
        <f t="shared" si="47"/>
        <v>入力済</v>
      </c>
      <c r="BB84" s="540" t="str">
        <f>IFERROR(VLOOKUP(K84,【参考】数式用!$AX$3:$AY$59, 2, FALSE), "")</f>
        <v/>
      </c>
      <c r="BC84" s="557" t="str">
        <f t="shared" si="58"/>
        <v/>
      </c>
      <c r="BD84" s="560" t="str">
        <f t="shared" si="48"/>
        <v>入力済</v>
      </c>
      <c r="BE84" s="560" t="str">
        <f t="shared" si="59"/>
        <v/>
      </c>
      <c r="BF84" s="560" t="str">
        <f t="shared" si="60"/>
        <v/>
      </c>
      <c r="BG84" s="560" t="str">
        <f t="shared" si="61"/>
        <v/>
      </c>
      <c r="BH84" s="560" t="str">
        <f t="shared" si="49"/>
        <v/>
      </c>
      <c r="BI84" s="560" t="str">
        <f t="shared" si="50"/>
        <v/>
      </c>
      <c r="BK84" s="27"/>
      <c r="BL84" s="607" t="str">
        <f t="shared" si="62"/>
        <v/>
      </c>
      <c r="BM84" s="607" t="str">
        <f t="shared" si="63"/>
        <v/>
      </c>
      <c r="BN84" s="607" t="str">
        <f t="shared" si="64"/>
        <v/>
      </c>
      <c r="BO84" s="608" t="str">
        <f>IF(BM84="","",ROUNDDOWN(L84*VLOOKUP(K84,【参考】数式用!$A$4:$J$42,10,FALSE)*AA84,0))</f>
        <v/>
      </c>
      <c r="BP84" s="607" t="str">
        <f t="shared" si="65"/>
        <v/>
      </c>
      <c r="BQ84" s="607" t="str">
        <f t="shared" si="66"/>
        <v/>
      </c>
      <c r="BR84" s="609" t="str">
        <f t="shared" si="67"/>
        <v/>
      </c>
      <c r="BS84" s="609" t="str">
        <f t="shared" si="68"/>
        <v/>
      </c>
      <c r="BT84" s="607" t="str">
        <f t="shared" si="69"/>
        <v/>
      </c>
      <c r="BU84" s="608" t="str">
        <f>IF(BT84="Ⅱロ有り",ROUNDDOWN(L84*VLOOKUP(K84,【参考】数式用!$A$4:$J$42,10,FALSE)*AA84,0),"")</f>
        <v/>
      </c>
      <c r="BV84" s="607" t="str">
        <f>IF(BT84="Ⅱロなし",ROUNDDOWN(L84*VLOOKUP(K84,【参考】数式用!$A$4:$J$42,8,FALSE)*AA84,0),"")</f>
        <v/>
      </c>
    </row>
    <row r="85" spans="1:74" ht="109.9" customHeight="1" thickBot="1">
      <c r="A85" s="303">
        <v>72</v>
      </c>
      <c r="B85" s="956" t="str">
        <f>IF(基本情報入力シート!B107="","",基本情報入力シート!B107)</f>
        <v/>
      </c>
      <c r="C85" s="957"/>
      <c r="D85" s="957"/>
      <c r="E85" s="957"/>
      <c r="F85" s="958"/>
      <c r="G85" s="304" t="str">
        <f>IF(基本情報入力シート!L107="", "", 基本情報入力シート!L107)</f>
        <v/>
      </c>
      <c r="H85" s="304" t="str">
        <f>IF(基本情報入力シート!Q107="", "", 基本情報入力シート!Q107)</f>
        <v/>
      </c>
      <c r="I85" s="304" t="str">
        <f>IF(基本情報入力シート!V107="", "", 基本情報入力シート!V107)</f>
        <v/>
      </c>
      <c r="J85" s="304" t="str">
        <f>IF(基本情報入力シート!W107="", "", 基本情報入力シート!W107)</f>
        <v/>
      </c>
      <c r="K85" s="304" t="str">
        <f>IF(基本情報入力シート!Z107="", "", 基本情報入力シート!Z107)</f>
        <v/>
      </c>
      <c r="L85" s="558" t="str">
        <f>IF(基本情報入力シート!AF107=0, "",基本情報入力シート!AF107)</f>
        <v/>
      </c>
      <c r="M85" s="524" t="str">
        <f>IF('別紙様式2-2（個票（４、５月））'!M85="","",'別紙様式2-2（個票（４、５月））'!M85)</f>
        <v/>
      </c>
      <c r="N85" s="523" t="str">
        <f>IF('別紙様式2-2（個票（４、５月））'!N85="","",'別紙様式2-2（個票（４、５月））'!N85)</f>
        <v/>
      </c>
      <c r="O85" s="286"/>
      <c r="P85" s="555" t="str">
        <f>IFERROR(VLOOKUP(K85,【参考】数式用!$A$2:$M$57,MATCH(O85,【参考】数式用!$G$3:$M$3,0)+6,0),"")</f>
        <v/>
      </c>
      <c r="Q85" s="310" t="s">
        <v>118</v>
      </c>
      <c r="R85" s="308"/>
      <c r="S85" s="309" t="s">
        <v>183</v>
      </c>
      <c r="T85" s="308"/>
      <c r="U85" s="309" t="s">
        <v>184</v>
      </c>
      <c r="V85" s="308"/>
      <c r="W85" s="309" t="s">
        <v>183</v>
      </c>
      <c r="X85" s="308"/>
      <c r="Y85" s="309" t="s">
        <v>120</v>
      </c>
      <c r="Z85" s="309" t="s">
        <v>186</v>
      </c>
      <c r="AA85" s="309" t="str">
        <f t="shared" si="71"/>
        <v/>
      </c>
      <c r="AB85" s="305" t="s">
        <v>187</v>
      </c>
      <c r="AC85" s="306" t="str">
        <f t="shared" si="51"/>
        <v/>
      </c>
      <c r="AD85" s="515" t="str">
        <f t="shared" si="52"/>
        <v/>
      </c>
      <c r="AE85" s="307" t="str">
        <f>IFERROR(ROUNDDOWN(ROUNDDOWN(ROUND(L85*VLOOKUP(K85,【参考】数式用!$A$2:$M$57,MATCH("処遇改善加算Ⅳ",【参考】数式用!$G$3:$M$3,0)+6,0),0),0)*AA85*0.5,0), "")</f>
        <v/>
      </c>
      <c r="AF85" s="318"/>
      <c r="AG85" s="319"/>
      <c r="AH85" s="319"/>
      <c r="AI85" s="318"/>
      <c r="AJ85" s="320"/>
      <c r="AK85" s="326"/>
      <c r="AL85" s="324" t="str">
        <f t="shared" si="41"/>
        <v/>
      </c>
      <c r="AM85" s="325" t="str">
        <f t="shared" si="53"/>
        <v/>
      </c>
      <c r="AN85" s="255"/>
      <c r="AO85" s="557" t="str">
        <f>IFERROR(VLOOKUP(K85,【参考】数式用!$A$2:$N$57,14,FALSE),"")</f>
        <v/>
      </c>
      <c r="AP85" s="557" t="str">
        <f t="shared" si="54"/>
        <v/>
      </c>
      <c r="AQ85" s="561" t="str">
        <f t="shared" si="42"/>
        <v/>
      </c>
      <c r="AR85" s="561" t="str">
        <f t="shared" si="70"/>
        <v>キャリアパス要件Ⅰ・Ⅱ_</v>
      </c>
      <c r="AS85" s="540" t="str">
        <f t="shared" si="43"/>
        <v>入力済</v>
      </c>
      <c r="AT85" s="557" t="str">
        <f t="shared" si="55"/>
        <v/>
      </c>
      <c r="AU85" s="540" t="str">
        <f t="shared" si="44"/>
        <v>入力済</v>
      </c>
      <c r="AV85" s="540" t="str">
        <f t="shared" si="45"/>
        <v/>
      </c>
      <c r="AW85" s="576" t="str">
        <f t="shared" si="56"/>
        <v/>
      </c>
      <c r="AX85" s="557" t="str">
        <f t="shared" si="46"/>
        <v/>
      </c>
      <c r="AY85" s="540" t="str">
        <f>IFERROR(VLOOKUP(K85,【参考】数式用!$AR$3:$AS$49, 2, FALSE), "")</f>
        <v/>
      </c>
      <c r="AZ85" s="557" t="str">
        <f t="shared" si="57"/>
        <v/>
      </c>
      <c r="BA85" s="560" t="str">
        <f t="shared" si="47"/>
        <v>入力済</v>
      </c>
      <c r="BB85" s="540" t="str">
        <f>IFERROR(VLOOKUP(K85,【参考】数式用!$AX$3:$AY$59, 2, FALSE), "")</f>
        <v/>
      </c>
      <c r="BC85" s="557" t="str">
        <f t="shared" si="58"/>
        <v/>
      </c>
      <c r="BD85" s="560" t="str">
        <f t="shared" si="48"/>
        <v>入力済</v>
      </c>
      <c r="BE85" s="560" t="str">
        <f t="shared" si="59"/>
        <v/>
      </c>
      <c r="BF85" s="560" t="str">
        <f t="shared" si="60"/>
        <v/>
      </c>
      <c r="BG85" s="560" t="str">
        <f t="shared" si="61"/>
        <v/>
      </c>
      <c r="BH85" s="560" t="str">
        <f t="shared" si="49"/>
        <v/>
      </c>
      <c r="BI85" s="560" t="str">
        <f t="shared" si="50"/>
        <v/>
      </c>
      <c r="BK85" s="27"/>
      <c r="BL85" s="607" t="str">
        <f t="shared" si="62"/>
        <v/>
      </c>
      <c r="BM85" s="607" t="str">
        <f t="shared" si="63"/>
        <v/>
      </c>
      <c r="BN85" s="607" t="str">
        <f t="shared" si="64"/>
        <v/>
      </c>
      <c r="BO85" s="608" t="str">
        <f>IF(BM85="","",ROUNDDOWN(L85*VLOOKUP(K85,【参考】数式用!$A$4:$J$42,10,FALSE)*AA85,0))</f>
        <v/>
      </c>
      <c r="BP85" s="607" t="str">
        <f t="shared" si="65"/>
        <v/>
      </c>
      <c r="BQ85" s="607" t="str">
        <f t="shared" si="66"/>
        <v/>
      </c>
      <c r="BR85" s="609" t="str">
        <f t="shared" si="67"/>
        <v/>
      </c>
      <c r="BS85" s="609" t="str">
        <f t="shared" si="68"/>
        <v/>
      </c>
      <c r="BT85" s="607" t="str">
        <f t="shared" si="69"/>
        <v/>
      </c>
      <c r="BU85" s="608" t="str">
        <f>IF(BT85="Ⅱロ有り",ROUNDDOWN(L85*VLOOKUP(K85,【参考】数式用!$A$4:$J$42,10,FALSE)*AA85,0),"")</f>
        <v/>
      </c>
      <c r="BV85" s="607" t="str">
        <f>IF(BT85="Ⅱロなし",ROUNDDOWN(L85*VLOOKUP(K85,【参考】数式用!$A$4:$J$42,8,FALSE)*AA85,0),"")</f>
        <v/>
      </c>
    </row>
    <row r="86" spans="1:74" ht="109.9" customHeight="1" thickBot="1">
      <c r="A86" s="303">
        <v>73</v>
      </c>
      <c r="B86" s="956" t="str">
        <f>IF(基本情報入力シート!B108="","",基本情報入力シート!B108)</f>
        <v/>
      </c>
      <c r="C86" s="957"/>
      <c r="D86" s="957"/>
      <c r="E86" s="957"/>
      <c r="F86" s="958"/>
      <c r="G86" s="304" t="str">
        <f>IF(基本情報入力シート!L108="", "", 基本情報入力シート!L108)</f>
        <v/>
      </c>
      <c r="H86" s="304" t="str">
        <f>IF(基本情報入力シート!Q108="", "", 基本情報入力シート!Q108)</f>
        <v/>
      </c>
      <c r="I86" s="304" t="str">
        <f>IF(基本情報入力シート!V108="", "", 基本情報入力シート!V108)</f>
        <v/>
      </c>
      <c r="J86" s="304" t="str">
        <f>IF(基本情報入力シート!W108="", "", 基本情報入力シート!W108)</f>
        <v/>
      </c>
      <c r="K86" s="304" t="str">
        <f>IF(基本情報入力シート!Z108="", "", 基本情報入力シート!Z108)</f>
        <v/>
      </c>
      <c r="L86" s="558" t="str">
        <f>IF(基本情報入力シート!AF108=0, "",基本情報入力シート!AF108)</f>
        <v/>
      </c>
      <c r="M86" s="524" t="str">
        <f>IF('別紙様式2-2（個票（４、５月））'!M86="","",'別紙様式2-2（個票（４、５月））'!M86)</f>
        <v/>
      </c>
      <c r="N86" s="523" t="str">
        <f>IF('別紙様式2-2（個票（４、５月））'!N86="","",'別紙様式2-2（個票（４、５月））'!N86)</f>
        <v/>
      </c>
      <c r="O86" s="286"/>
      <c r="P86" s="555" t="str">
        <f>IFERROR(VLOOKUP(K86,【参考】数式用!$A$2:$M$57,MATCH(O86,【参考】数式用!$G$3:$M$3,0)+6,0),"")</f>
        <v/>
      </c>
      <c r="Q86" s="310" t="s">
        <v>118</v>
      </c>
      <c r="R86" s="308"/>
      <c r="S86" s="309" t="s">
        <v>183</v>
      </c>
      <c r="T86" s="308"/>
      <c r="U86" s="309" t="s">
        <v>184</v>
      </c>
      <c r="V86" s="308"/>
      <c r="W86" s="309" t="s">
        <v>183</v>
      </c>
      <c r="X86" s="308"/>
      <c r="Y86" s="309" t="s">
        <v>185</v>
      </c>
      <c r="Z86" s="309" t="s">
        <v>186</v>
      </c>
      <c r="AA86" s="309" t="str">
        <f t="shared" si="71"/>
        <v/>
      </c>
      <c r="AB86" s="305" t="s">
        <v>187</v>
      </c>
      <c r="AC86" s="306" t="str">
        <f t="shared" si="51"/>
        <v/>
      </c>
      <c r="AD86" s="515" t="str">
        <f t="shared" si="52"/>
        <v/>
      </c>
      <c r="AE86" s="307" t="str">
        <f>IFERROR(ROUNDDOWN(ROUNDDOWN(ROUND(L86*VLOOKUP(K86,【参考】数式用!$A$2:$M$57,MATCH("処遇改善加算Ⅳ",【参考】数式用!$G$3:$M$3,0)+6,0),0),0)*AA86*0.5,0), "")</f>
        <v/>
      </c>
      <c r="AF86" s="318"/>
      <c r="AG86" s="319"/>
      <c r="AH86" s="319"/>
      <c r="AI86" s="318"/>
      <c r="AJ86" s="320"/>
      <c r="AK86" s="326"/>
      <c r="AL86" s="324" t="str">
        <f t="shared" si="41"/>
        <v/>
      </c>
      <c r="AM86" s="325" t="str">
        <f t="shared" si="53"/>
        <v/>
      </c>
      <c r="AN86" s="255"/>
      <c r="AO86" s="557" t="str">
        <f>IFERROR(VLOOKUP(K86,【参考】数式用!$A$2:$N$57,14,FALSE),"")</f>
        <v/>
      </c>
      <c r="AP86" s="557" t="str">
        <f t="shared" si="54"/>
        <v/>
      </c>
      <c r="AQ86" s="561" t="str">
        <f t="shared" si="42"/>
        <v/>
      </c>
      <c r="AR86" s="561" t="str">
        <f t="shared" si="70"/>
        <v>キャリアパス要件Ⅰ・Ⅱ_</v>
      </c>
      <c r="AS86" s="540" t="str">
        <f t="shared" si="43"/>
        <v>入力済</v>
      </c>
      <c r="AT86" s="557" t="str">
        <f t="shared" si="55"/>
        <v/>
      </c>
      <c r="AU86" s="540" t="str">
        <f t="shared" si="44"/>
        <v>入力済</v>
      </c>
      <c r="AV86" s="540" t="str">
        <f t="shared" si="45"/>
        <v/>
      </c>
      <c r="AW86" s="576" t="str">
        <f t="shared" si="56"/>
        <v/>
      </c>
      <c r="AX86" s="557" t="str">
        <f t="shared" si="46"/>
        <v/>
      </c>
      <c r="AY86" s="540" t="str">
        <f>IFERROR(VLOOKUP(K86,【参考】数式用!$AR$3:$AS$49, 2, FALSE), "")</f>
        <v/>
      </c>
      <c r="AZ86" s="557" t="str">
        <f t="shared" si="57"/>
        <v/>
      </c>
      <c r="BA86" s="560" t="str">
        <f t="shared" si="47"/>
        <v>入力済</v>
      </c>
      <c r="BB86" s="540" t="str">
        <f>IFERROR(VLOOKUP(K86,【参考】数式用!$AX$3:$AY$59, 2, FALSE), "")</f>
        <v/>
      </c>
      <c r="BC86" s="557" t="str">
        <f t="shared" si="58"/>
        <v/>
      </c>
      <c r="BD86" s="560" t="str">
        <f t="shared" si="48"/>
        <v>入力済</v>
      </c>
      <c r="BE86" s="560" t="str">
        <f t="shared" si="59"/>
        <v/>
      </c>
      <c r="BF86" s="560" t="str">
        <f t="shared" si="60"/>
        <v/>
      </c>
      <c r="BG86" s="560" t="str">
        <f t="shared" si="61"/>
        <v/>
      </c>
      <c r="BH86" s="560" t="str">
        <f t="shared" si="49"/>
        <v/>
      </c>
      <c r="BI86" s="560" t="str">
        <f t="shared" si="50"/>
        <v/>
      </c>
      <c r="BK86" s="27"/>
      <c r="BL86" s="607" t="str">
        <f t="shared" si="62"/>
        <v/>
      </c>
      <c r="BM86" s="607" t="str">
        <f t="shared" si="63"/>
        <v/>
      </c>
      <c r="BN86" s="607" t="str">
        <f t="shared" si="64"/>
        <v/>
      </c>
      <c r="BO86" s="608" t="str">
        <f>IF(BM86="","",ROUNDDOWN(L86*VLOOKUP(K86,【参考】数式用!$A$4:$J$42,10,FALSE)*AA86,0))</f>
        <v/>
      </c>
      <c r="BP86" s="607" t="str">
        <f t="shared" si="65"/>
        <v/>
      </c>
      <c r="BQ86" s="607" t="str">
        <f t="shared" si="66"/>
        <v/>
      </c>
      <c r="BR86" s="609" t="str">
        <f t="shared" si="67"/>
        <v/>
      </c>
      <c r="BS86" s="609" t="str">
        <f t="shared" si="68"/>
        <v/>
      </c>
      <c r="BT86" s="607" t="str">
        <f t="shared" si="69"/>
        <v/>
      </c>
      <c r="BU86" s="608" t="str">
        <f>IF(BT86="Ⅱロ有り",ROUNDDOWN(L86*VLOOKUP(K86,【参考】数式用!$A$4:$J$42,10,FALSE)*AA86,0),"")</f>
        <v/>
      </c>
      <c r="BV86" s="607" t="str">
        <f>IF(BT86="Ⅱロなし",ROUNDDOWN(L86*VLOOKUP(K86,【参考】数式用!$A$4:$J$42,8,FALSE)*AA86,0),"")</f>
        <v/>
      </c>
    </row>
    <row r="87" spans="1:74" ht="109.9" customHeight="1" thickBot="1">
      <c r="A87" s="303">
        <v>74</v>
      </c>
      <c r="B87" s="956" t="str">
        <f>IF(基本情報入力シート!B109="","",基本情報入力シート!B109)</f>
        <v/>
      </c>
      <c r="C87" s="957"/>
      <c r="D87" s="957"/>
      <c r="E87" s="957"/>
      <c r="F87" s="958"/>
      <c r="G87" s="304" t="str">
        <f>IF(基本情報入力シート!L109="", "", 基本情報入力シート!L109)</f>
        <v/>
      </c>
      <c r="H87" s="304" t="str">
        <f>IF(基本情報入力シート!Q109="", "", 基本情報入力シート!Q109)</f>
        <v/>
      </c>
      <c r="I87" s="304" t="str">
        <f>IF(基本情報入力シート!V109="", "", 基本情報入力シート!V109)</f>
        <v/>
      </c>
      <c r="J87" s="304" t="str">
        <f>IF(基本情報入力シート!W109="", "", 基本情報入力シート!W109)</f>
        <v/>
      </c>
      <c r="K87" s="304" t="str">
        <f>IF(基本情報入力シート!Z109="", "", 基本情報入力シート!Z109)</f>
        <v/>
      </c>
      <c r="L87" s="558" t="str">
        <f>IF(基本情報入力シート!AF109=0, "",基本情報入力シート!AF109)</f>
        <v/>
      </c>
      <c r="M87" s="524" t="str">
        <f>IF('別紙様式2-2（個票（４、５月））'!M87="","",'別紙様式2-2（個票（４、５月））'!M87)</f>
        <v/>
      </c>
      <c r="N87" s="523" t="str">
        <f>IF('別紙様式2-2（個票（４、５月））'!N87="","",'別紙様式2-2（個票（４、５月））'!N87)</f>
        <v/>
      </c>
      <c r="O87" s="286"/>
      <c r="P87" s="555" t="str">
        <f>IFERROR(VLOOKUP(K87,【参考】数式用!$A$2:$M$57,MATCH(O87,【参考】数式用!$G$3:$M$3,0)+6,0),"")</f>
        <v/>
      </c>
      <c r="Q87" s="310" t="s">
        <v>118</v>
      </c>
      <c r="R87" s="308"/>
      <c r="S87" s="309" t="s">
        <v>183</v>
      </c>
      <c r="T87" s="308"/>
      <c r="U87" s="309" t="s">
        <v>184</v>
      </c>
      <c r="V87" s="308"/>
      <c r="W87" s="309" t="s">
        <v>183</v>
      </c>
      <c r="X87" s="308"/>
      <c r="Y87" s="309" t="s">
        <v>185</v>
      </c>
      <c r="Z87" s="309" t="s">
        <v>186</v>
      </c>
      <c r="AA87" s="309" t="str">
        <f t="shared" si="71"/>
        <v/>
      </c>
      <c r="AB87" s="305" t="s">
        <v>187</v>
      </c>
      <c r="AC87" s="306" t="str">
        <f t="shared" si="51"/>
        <v/>
      </c>
      <c r="AD87" s="515" t="str">
        <f t="shared" si="52"/>
        <v/>
      </c>
      <c r="AE87" s="307" t="str">
        <f>IFERROR(ROUNDDOWN(ROUNDDOWN(ROUND(L87*VLOOKUP(K87,【参考】数式用!$A$2:$M$57,MATCH("処遇改善加算Ⅳ",【参考】数式用!$G$3:$M$3,0)+6,0),0),0)*AA87*0.5,0), "")</f>
        <v/>
      </c>
      <c r="AF87" s="318"/>
      <c r="AG87" s="319"/>
      <c r="AH87" s="319"/>
      <c r="AI87" s="318"/>
      <c r="AJ87" s="320"/>
      <c r="AK87" s="326"/>
      <c r="AL87" s="324" t="str">
        <f t="shared" si="41"/>
        <v/>
      </c>
      <c r="AM87" s="325" t="str">
        <f t="shared" si="53"/>
        <v/>
      </c>
      <c r="AN87" s="255"/>
      <c r="AO87" s="557" t="str">
        <f>IFERROR(VLOOKUP(K87,【参考】数式用!$A$2:$N$57,14,FALSE),"")</f>
        <v/>
      </c>
      <c r="AP87" s="557" t="str">
        <f t="shared" si="54"/>
        <v/>
      </c>
      <c r="AQ87" s="561" t="str">
        <f t="shared" si="42"/>
        <v/>
      </c>
      <c r="AR87" s="561" t="str">
        <f t="shared" si="70"/>
        <v>キャリアパス要件Ⅰ・Ⅱ_</v>
      </c>
      <c r="AS87" s="540" t="str">
        <f t="shared" si="43"/>
        <v>入力済</v>
      </c>
      <c r="AT87" s="557" t="str">
        <f t="shared" si="55"/>
        <v/>
      </c>
      <c r="AU87" s="540" t="str">
        <f t="shared" si="44"/>
        <v>入力済</v>
      </c>
      <c r="AV87" s="540" t="str">
        <f t="shared" si="45"/>
        <v/>
      </c>
      <c r="AW87" s="576" t="str">
        <f t="shared" si="56"/>
        <v/>
      </c>
      <c r="AX87" s="557" t="str">
        <f t="shared" si="46"/>
        <v/>
      </c>
      <c r="AY87" s="540" t="str">
        <f>IFERROR(VLOOKUP(K87,【参考】数式用!$AR$3:$AS$49, 2, FALSE), "")</f>
        <v/>
      </c>
      <c r="AZ87" s="557" t="str">
        <f t="shared" si="57"/>
        <v/>
      </c>
      <c r="BA87" s="560" t="str">
        <f t="shared" si="47"/>
        <v>入力済</v>
      </c>
      <c r="BB87" s="540" t="str">
        <f>IFERROR(VLOOKUP(K87,【参考】数式用!$AX$3:$AY$59, 2, FALSE), "")</f>
        <v/>
      </c>
      <c r="BC87" s="557" t="str">
        <f t="shared" si="58"/>
        <v/>
      </c>
      <c r="BD87" s="560" t="str">
        <f t="shared" si="48"/>
        <v>入力済</v>
      </c>
      <c r="BE87" s="560" t="str">
        <f t="shared" si="59"/>
        <v/>
      </c>
      <c r="BF87" s="560" t="str">
        <f t="shared" si="60"/>
        <v/>
      </c>
      <c r="BG87" s="560" t="str">
        <f t="shared" si="61"/>
        <v/>
      </c>
      <c r="BH87" s="560" t="str">
        <f t="shared" si="49"/>
        <v/>
      </c>
      <c r="BI87" s="560" t="str">
        <f t="shared" si="50"/>
        <v/>
      </c>
      <c r="BK87" s="27"/>
      <c r="BL87" s="607" t="str">
        <f t="shared" si="62"/>
        <v/>
      </c>
      <c r="BM87" s="607" t="str">
        <f t="shared" si="63"/>
        <v/>
      </c>
      <c r="BN87" s="607" t="str">
        <f t="shared" si="64"/>
        <v/>
      </c>
      <c r="BO87" s="608" t="str">
        <f>IF(BM87="","",ROUNDDOWN(L87*VLOOKUP(K87,【参考】数式用!$A$4:$J$42,10,FALSE)*AA87,0))</f>
        <v/>
      </c>
      <c r="BP87" s="607" t="str">
        <f t="shared" si="65"/>
        <v/>
      </c>
      <c r="BQ87" s="607" t="str">
        <f t="shared" si="66"/>
        <v/>
      </c>
      <c r="BR87" s="609" t="str">
        <f t="shared" si="67"/>
        <v/>
      </c>
      <c r="BS87" s="609" t="str">
        <f t="shared" si="68"/>
        <v/>
      </c>
      <c r="BT87" s="607" t="str">
        <f t="shared" si="69"/>
        <v/>
      </c>
      <c r="BU87" s="608" t="str">
        <f>IF(BT87="Ⅱロ有り",ROUNDDOWN(L87*VLOOKUP(K87,【参考】数式用!$A$4:$J$42,10,FALSE)*AA87,0),"")</f>
        <v/>
      </c>
      <c r="BV87" s="607" t="str">
        <f>IF(BT87="Ⅱロなし",ROUNDDOWN(L87*VLOOKUP(K87,【参考】数式用!$A$4:$J$42,8,FALSE)*AA87,0),"")</f>
        <v/>
      </c>
    </row>
    <row r="88" spans="1:74" ht="109.9" customHeight="1" thickBot="1">
      <c r="A88" s="303">
        <v>75</v>
      </c>
      <c r="B88" s="956" t="str">
        <f>IF(基本情報入力シート!B110="","",基本情報入力シート!B110)</f>
        <v/>
      </c>
      <c r="C88" s="957"/>
      <c r="D88" s="957"/>
      <c r="E88" s="957"/>
      <c r="F88" s="958"/>
      <c r="G88" s="304" t="str">
        <f>IF(基本情報入力シート!L110="", "", 基本情報入力シート!L110)</f>
        <v/>
      </c>
      <c r="H88" s="304" t="str">
        <f>IF(基本情報入力シート!Q110="", "", 基本情報入力シート!Q110)</f>
        <v/>
      </c>
      <c r="I88" s="304" t="str">
        <f>IF(基本情報入力シート!V110="", "", 基本情報入力シート!V110)</f>
        <v/>
      </c>
      <c r="J88" s="304" t="str">
        <f>IF(基本情報入力シート!W110="", "", 基本情報入力シート!W110)</f>
        <v/>
      </c>
      <c r="K88" s="304" t="str">
        <f>IF(基本情報入力シート!Z110="", "", 基本情報入力シート!Z110)</f>
        <v/>
      </c>
      <c r="L88" s="558" t="str">
        <f>IF(基本情報入力シート!AF110=0, "",基本情報入力シート!AF110)</f>
        <v/>
      </c>
      <c r="M88" s="524" t="str">
        <f>IF('別紙様式2-2（個票（４、５月））'!M88="","",'別紙様式2-2（個票（４、５月））'!M88)</f>
        <v/>
      </c>
      <c r="N88" s="523" t="str">
        <f>IF('別紙様式2-2（個票（４、５月））'!N88="","",'別紙様式2-2（個票（４、５月））'!N88)</f>
        <v/>
      </c>
      <c r="O88" s="286"/>
      <c r="P88" s="555" t="str">
        <f>IFERROR(VLOOKUP(K88,【参考】数式用!$A$2:$M$57,MATCH(O88,【参考】数式用!$G$3:$M$3,0)+6,0),"")</f>
        <v/>
      </c>
      <c r="Q88" s="310" t="s">
        <v>118</v>
      </c>
      <c r="R88" s="308"/>
      <c r="S88" s="309" t="s">
        <v>183</v>
      </c>
      <c r="T88" s="308"/>
      <c r="U88" s="309" t="s">
        <v>184</v>
      </c>
      <c r="V88" s="308"/>
      <c r="W88" s="309" t="s">
        <v>183</v>
      </c>
      <c r="X88" s="308"/>
      <c r="Y88" s="309" t="s">
        <v>185</v>
      </c>
      <c r="Z88" s="309" t="s">
        <v>186</v>
      </c>
      <c r="AA88" s="309" t="str">
        <f t="shared" si="71"/>
        <v/>
      </c>
      <c r="AB88" s="305" t="s">
        <v>187</v>
      </c>
      <c r="AC88" s="306" t="str">
        <f t="shared" si="51"/>
        <v/>
      </c>
      <c r="AD88" s="515" t="str">
        <f t="shared" si="52"/>
        <v/>
      </c>
      <c r="AE88" s="307" t="str">
        <f>IFERROR(ROUNDDOWN(ROUNDDOWN(ROUND(L88*VLOOKUP(K88,【参考】数式用!$A$2:$M$57,MATCH("処遇改善加算Ⅳ",【参考】数式用!$G$3:$M$3,0)+6,0),0),0)*AA88*0.5,0), "")</f>
        <v/>
      </c>
      <c r="AF88" s="318"/>
      <c r="AG88" s="319"/>
      <c r="AH88" s="319"/>
      <c r="AI88" s="318"/>
      <c r="AJ88" s="320"/>
      <c r="AK88" s="326"/>
      <c r="AL88" s="324" t="str">
        <f t="shared" si="41"/>
        <v/>
      </c>
      <c r="AM88" s="325" t="str">
        <f t="shared" si="53"/>
        <v/>
      </c>
      <c r="AN88" s="255"/>
      <c r="AO88" s="557" t="str">
        <f>IFERROR(VLOOKUP(K88,【参考】数式用!$A$2:$N$57,14,FALSE),"")</f>
        <v/>
      </c>
      <c r="AP88" s="557" t="str">
        <f t="shared" si="54"/>
        <v/>
      </c>
      <c r="AQ88" s="561" t="str">
        <f t="shared" si="42"/>
        <v/>
      </c>
      <c r="AR88" s="561" t="str">
        <f t="shared" si="70"/>
        <v>キャリアパス要件Ⅰ・Ⅱ_</v>
      </c>
      <c r="AS88" s="540" t="str">
        <f t="shared" si="43"/>
        <v>入力済</v>
      </c>
      <c r="AT88" s="557" t="str">
        <f t="shared" si="55"/>
        <v/>
      </c>
      <c r="AU88" s="540" t="str">
        <f t="shared" si="44"/>
        <v>入力済</v>
      </c>
      <c r="AV88" s="540" t="str">
        <f t="shared" si="45"/>
        <v/>
      </c>
      <c r="AW88" s="576" t="str">
        <f t="shared" si="56"/>
        <v/>
      </c>
      <c r="AX88" s="557" t="str">
        <f t="shared" si="46"/>
        <v/>
      </c>
      <c r="AY88" s="540" t="str">
        <f>IFERROR(VLOOKUP(K88,【参考】数式用!$AR$3:$AS$49, 2, FALSE), "")</f>
        <v/>
      </c>
      <c r="AZ88" s="557" t="str">
        <f t="shared" si="57"/>
        <v/>
      </c>
      <c r="BA88" s="560" t="str">
        <f t="shared" si="47"/>
        <v>入力済</v>
      </c>
      <c r="BB88" s="540" t="str">
        <f>IFERROR(VLOOKUP(K88,【参考】数式用!$AX$3:$AY$59, 2, FALSE), "")</f>
        <v/>
      </c>
      <c r="BC88" s="557" t="str">
        <f t="shared" si="58"/>
        <v/>
      </c>
      <c r="BD88" s="560" t="str">
        <f t="shared" si="48"/>
        <v>入力済</v>
      </c>
      <c r="BE88" s="560" t="str">
        <f t="shared" si="59"/>
        <v/>
      </c>
      <c r="BF88" s="560" t="str">
        <f t="shared" si="60"/>
        <v/>
      </c>
      <c r="BG88" s="560" t="str">
        <f t="shared" si="61"/>
        <v/>
      </c>
      <c r="BH88" s="560" t="str">
        <f t="shared" si="49"/>
        <v/>
      </c>
      <c r="BI88" s="560" t="str">
        <f t="shared" si="50"/>
        <v/>
      </c>
      <c r="BK88" s="27"/>
      <c r="BL88" s="607" t="str">
        <f t="shared" si="62"/>
        <v/>
      </c>
      <c r="BM88" s="607" t="str">
        <f t="shared" si="63"/>
        <v/>
      </c>
      <c r="BN88" s="607" t="str">
        <f t="shared" si="64"/>
        <v/>
      </c>
      <c r="BO88" s="608" t="str">
        <f>IF(BM88="","",ROUNDDOWN(L88*VLOOKUP(K88,【参考】数式用!$A$4:$J$42,10,FALSE)*AA88,0))</f>
        <v/>
      </c>
      <c r="BP88" s="607" t="str">
        <f t="shared" si="65"/>
        <v/>
      </c>
      <c r="BQ88" s="607" t="str">
        <f t="shared" si="66"/>
        <v/>
      </c>
      <c r="BR88" s="609" t="str">
        <f t="shared" si="67"/>
        <v/>
      </c>
      <c r="BS88" s="609" t="str">
        <f t="shared" si="68"/>
        <v/>
      </c>
      <c r="BT88" s="607" t="str">
        <f t="shared" si="69"/>
        <v/>
      </c>
      <c r="BU88" s="608" t="str">
        <f>IF(BT88="Ⅱロ有り",ROUNDDOWN(L88*VLOOKUP(K88,【参考】数式用!$A$4:$J$42,10,FALSE)*AA88,0),"")</f>
        <v/>
      </c>
      <c r="BV88" s="607" t="str">
        <f>IF(BT88="Ⅱロなし",ROUNDDOWN(L88*VLOOKUP(K88,【参考】数式用!$A$4:$J$42,8,FALSE)*AA88,0),"")</f>
        <v/>
      </c>
    </row>
    <row r="89" spans="1:74" ht="109.9" customHeight="1" thickBot="1">
      <c r="A89" s="303">
        <v>76</v>
      </c>
      <c r="B89" s="956" t="str">
        <f>IF(基本情報入力シート!B111="","",基本情報入力シート!B111)</f>
        <v/>
      </c>
      <c r="C89" s="957"/>
      <c r="D89" s="957"/>
      <c r="E89" s="957"/>
      <c r="F89" s="958"/>
      <c r="G89" s="304" t="str">
        <f>IF(基本情報入力シート!L111="", "", 基本情報入力シート!L111)</f>
        <v/>
      </c>
      <c r="H89" s="304" t="str">
        <f>IF(基本情報入力シート!Q111="", "", 基本情報入力シート!Q111)</f>
        <v/>
      </c>
      <c r="I89" s="304" t="str">
        <f>IF(基本情報入力シート!V111="", "", 基本情報入力シート!V111)</f>
        <v/>
      </c>
      <c r="J89" s="304" t="str">
        <f>IF(基本情報入力シート!W111="", "", 基本情報入力シート!W111)</f>
        <v/>
      </c>
      <c r="K89" s="304" t="str">
        <f>IF(基本情報入力シート!Z111="", "", 基本情報入力シート!Z111)</f>
        <v/>
      </c>
      <c r="L89" s="558" t="str">
        <f>IF(基本情報入力シート!AF111=0, "",基本情報入力シート!AF111)</f>
        <v/>
      </c>
      <c r="M89" s="524" t="str">
        <f>IF('別紙様式2-2（個票（４、５月））'!M89="","",'別紙様式2-2（個票（４、５月））'!M89)</f>
        <v/>
      </c>
      <c r="N89" s="523" t="str">
        <f>IF('別紙様式2-2（個票（４、５月））'!N89="","",'別紙様式2-2（個票（４、５月））'!N89)</f>
        <v/>
      </c>
      <c r="O89" s="286"/>
      <c r="P89" s="555" t="str">
        <f>IFERROR(VLOOKUP(K89,【参考】数式用!$A$2:$M$57,MATCH(O89,【参考】数式用!$G$3:$M$3,0)+6,0),"")</f>
        <v/>
      </c>
      <c r="Q89" s="310" t="s">
        <v>118</v>
      </c>
      <c r="R89" s="308"/>
      <c r="S89" s="309" t="s">
        <v>183</v>
      </c>
      <c r="T89" s="308"/>
      <c r="U89" s="309" t="s">
        <v>184</v>
      </c>
      <c r="V89" s="308"/>
      <c r="W89" s="309" t="s">
        <v>183</v>
      </c>
      <c r="X89" s="308"/>
      <c r="Y89" s="309" t="s">
        <v>120</v>
      </c>
      <c r="Z89" s="309" t="s">
        <v>186</v>
      </c>
      <c r="AA89" s="309" t="str">
        <f t="shared" si="71"/>
        <v/>
      </c>
      <c r="AB89" s="305" t="s">
        <v>187</v>
      </c>
      <c r="AC89" s="306" t="str">
        <f t="shared" si="51"/>
        <v/>
      </c>
      <c r="AD89" s="515" t="str">
        <f t="shared" si="52"/>
        <v/>
      </c>
      <c r="AE89" s="307" t="str">
        <f>IFERROR(ROUNDDOWN(ROUNDDOWN(ROUND(L89*VLOOKUP(K89,【参考】数式用!$A$2:$M$57,MATCH("処遇改善加算Ⅳ",【参考】数式用!$G$3:$M$3,0)+6,0),0),0)*AA89*0.5,0), "")</f>
        <v/>
      </c>
      <c r="AF89" s="318"/>
      <c r="AG89" s="319"/>
      <c r="AH89" s="319"/>
      <c r="AI89" s="318"/>
      <c r="AJ89" s="320"/>
      <c r="AK89" s="326"/>
      <c r="AL89" s="324" t="str">
        <f t="shared" si="41"/>
        <v/>
      </c>
      <c r="AM89" s="325" t="str">
        <f t="shared" si="53"/>
        <v/>
      </c>
      <c r="AN89" s="255"/>
      <c r="AO89" s="557" t="str">
        <f>IFERROR(VLOOKUP(K89,【参考】数式用!$A$2:$N$57,14,FALSE),"")</f>
        <v/>
      </c>
      <c r="AP89" s="557" t="str">
        <f t="shared" si="54"/>
        <v/>
      </c>
      <c r="AQ89" s="561" t="str">
        <f t="shared" si="42"/>
        <v/>
      </c>
      <c r="AR89" s="561" t="str">
        <f t="shared" si="70"/>
        <v>キャリアパス要件Ⅰ・Ⅱ_</v>
      </c>
      <c r="AS89" s="540" t="str">
        <f t="shared" si="43"/>
        <v>入力済</v>
      </c>
      <c r="AT89" s="557" t="str">
        <f t="shared" si="55"/>
        <v/>
      </c>
      <c r="AU89" s="540" t="str">
        <f t="shared" si="44"/>
        <v>入力済</v>
      </c>
      <c r="AV89" s="540" t="str">
        <f t="shared" si="45"/>
        <v/>
      </c>
      <c r="AW89" s="576" t="str">
        <f t="shared" si="56"/>
        <v/>
      </c>
      <c r="AX89" s="557" t="str">
        <f t="shared" si="46"/>
        <v/>
      </c>
      <c r="AY89" s="540" t="str">
        <f>IFERROR(VLOOKUP(K89,【参考】数式用!$AR$3:$AS$49, 2, FALSE), "")</f>
        <v/>
      </c>
      <c r="AZ89" s="557" t="str">
        <f t="shared" si="57"/>
        <v/>
      </c>
      <c r="BA89" s="560" t="str">
        <f t="shared" si="47"/>
        <v>入力済</v>
      </c>
      <c r="BB89" s="540" t="str">
        <f>IFERROR(VLOOKUP(K89,【参考】数式用!$AX$3:$AY$59, 2, FALSE), "")</f>
        <v/>
      </c>
      <c r="BC89" s="557" t="str">
        <f t="shared" si="58"/>
        <v/>
      </c>
      <c r="BD89" s="560" t="str">
        <f t="shared" si="48"/>
        <v>入力済</v>
      </c>
      <c r="BE89" s="560" t="str">
        <f t="shared" si="59"/>
        <v/>
      </c>
      <c r="BF89" s="560" t="str">
        <f t="shared" si="60"/>
        <v/>
      </c>
      <c r="BG89" s="560" t="str">
        <f t="shared" si="61"/>
        <v/>
      </c>
      <c r="BH89" s="560" t="str">
        <f t="shared" si="49"/>
        <v/>
      </c>
      <c r="BI89" s="560" t="str">
        <f t="shared" si="50"/>
        <v/>
      </c>
      <c r="BK89" s="27"/>
      <c r="BL89" s="607" t="str">
        <f t="shared" si="62"/>
        <v/>
      </c>
      <c r="BM89" s="607" t="str">
        <f t="shared" si="63"/>
        <v/>
      </c>
      <c r="BN89" s="607" t="str">
        <f t="shared" si="64"/>
        <v/>
      </c>
      <c r="BO89" s="608" t="str">
        <f>IF(BM89="","",ROUNDDOWN(L89*VLOOKUP(K89,【参考】数式用!$A$4:$J$42,10,FALSE)*AA89,0))</f>
        <v/>
      </c>
      <c r="BP89" s="607" t="str">
        <f t="shared" si="65"/>
        <v/>
      </c>
      <c r="BQ89" s="607" t="str">
        <f t="shared" si="66"/>
        <v/>
      </c>
      <c r="BR89" s="609" t="str">
        <f t="shared" si="67"/>
        <v/>
      </c>
      <c r="BS89" s="609" t="str">
        <f t="shared" si="68"/>
        <v/>
      </c>
      <c r="BT89" s="607" t="str">
        <f t="shared" si="69"/>
        <v/>
      </c>
      <c r="BU89" s="608" t="str">
        <f>IF(BT89="Ⅱロ有り",ROUNDDOWN(L89*VLOOKUP(K89,【参考】数式用!$A$4:$J$42,10,FALSE)*AA89,0),"")</f>
        <v/>
      </c>
      <c r="BV89" s="607" t="str">
        <f>IF(BT89="Ⅱロなし",ROUNDDOWN(L89*VLOOKUP(K89,【参考】数式用!$A$4:$J$42,8,FALSE)*AA89,0),"")</f>
        <v/>
      </c>
    </row>
    <row r="90" spans="1:74" ht="109.9" customHeight="1" thickBot="1">
      <c r="A90" s="303">
        <v>77</v>
      </c>
      <c r="B90" s="956" t="str">
        <f>IF(基本情報入力シート!B112="","",基本情報入力シート!B112)</f>
        <v/>
      </c>
      <c r="C90" s="957"/>
      <c r="D90" s="957"/>
      <c r="E90" s="957"/>
      <c r="F90" s="958"/>
      <c r="G90" s="304" t="str">
        <f>IF(基本情報入力シート!L112="", "", 基本情報入力シート!L112)</f>
        <v/>
      </c>
      <c r="H90" s="304" t="str">
        <f>IF(基本情報入力シート!Q112="", "", 基本情報入力シート!Q112)</f>
        <v/>
      </c>
      <c r="I90" s="304" t="str">
        <f>IF(基本情報入力シート!V112="", "", 基本情報入力シート!V112)</f>
        <v/>
      </c>
      <c r="J90" s="304" t="str">
        <f>IF(基本情報入力シート!W112="", "", 基本情報入力シート!W112)</f>
        <v/>
      </c>
      <c r="K90" s="304" t="str">
        <f>IF(基本情報入力シート!Z112="", "", 基本情報入力シート!Z112)</f>
        <v/>
      </c>
      <c r="L90" s="558" t="str">
        <f>IF(基本情報入力シート!AF112=0, "",基本情報入力シート!AF112)</f>
        <v/>
      </c>
      <c r="M90" s="524" t="str">
        <f>IF('別紙様式2-2（個票（４、５月））'!M90="","",'別紙様式2-2（個票（４、５月））'!M90)</f>
        <v/>
      </c>
      <c r="N90" s="523" t="str">
        <f>IF('別紙様式2-2（個票（４、５月））'!N90="","",'別紙様式2-2（個票（４、５月））'!N90)</f>
        <v/>
      </c>
      <c r="O90" s="286"/>
      <c r="P90" s="555" t="str">
        <f>IFERROR(VLOOKUP(K90,【参考】数式用!$A$2:$M$57,MATCH(O90,【参考】数式用!$G$3:$M$3,0)+6,0),"")</f>
        <v/>
      </c>
      <c r="Q90" s="310" t="s">
        <v>118</v>
      </c>
      <c r="R90" s="308"/>
      <c r="S90" s="309" t="s">
        <v>183</v>
      </c>
      <c r="T90" s="308"/>
      <c r="U90" s="309" t="s">
        <v>184</v>
      </c>
      <c r="V90" s="308"/>
      <c r="W90" s="309" t="s">
        <v>183</v>
      </c>
      <c r="X90" s="308"/>
      <c r="Y90" s="309" t="s">
        <v>120</v>
      </c>
      <c r="Z90" s="309" t="s">
        <v>186</v>
      </c>
      <c r="AA90" s="309" t="str">
        <f t="shared" si="71"/>
        <v/>
      </c>
      <c r="AB90" s="305" t="s">
        <v>187</v>
      </c>
      <c r="AC90" s="306" t="str">
        <f t="shared" si="51"/>
        <v/>
      </c>
      <c r="AD90" s="515" t="str">
        <f t="shared" si="52"/>
        <v/>
      </c>
      <c r="AE90" s="307" t="str">
        <f>IFERROR(ROUNDDOWN(ROUNDDOWN(ROUND(L90*VLOOKUP(K90,【参考】数式用!$A$2:$M$57,MATCH("処遇改善加算Ⅳ",【参考】数式用!$G$3:$M$3,0)+6,0),0),0)*AA90*0.5,0), "")</f>
        <v/>
      </c>
      <c r="AF90" s="318"/>
      <c r="AG90" s="319"/>
      <c r="AH90" s="319"/>
      <c r="AI90" s="318"/>
      <c r="AJ90" s="320"/>
      <c r="AK90" s="326"/>
      <c r="AL90" s="324" t="str">
        <f t="shared" si="41"/>
        <v/>
      </c>
      <c r="AM90" s="325" t="str">
        <f t="shared" si="53"/>
        <v/>
      </c>
      <c r="AN90" s="255"/>
      <c r="AO90" s="557" t="str">
        <f>IFERROR(VLOOKUP(K90,【参考】数式用!$A$2:$N$57,14,FALSE),"")</f>
        <v/>
      </c>
      <c r="AP90" s="557" t="str">
        <f t="shared" si="54"/>
        <v/>
      </c>
      <c r="AQ90" s="561" t="str">
        <f t="shared" si="42"/>
        <v/>
      </c>
      <c r="AR90" s="561" t="str">
        <f t="shared" si="70"/>
        <v>キャリアパス要件Ⅰ・Ⅱ_</v>
      </c>
      <c r="AS90" s="540" t="str">
        <f t="shared" si="43"/>
        <v>入力済</v>
      </c>
      <c r="AT90" s="557" t="str">
        <f t="shared" si="55"/>
        <v/>
      </c>
      <c r="AU90" s="540" t="str">
        <f t="shared" si="44"/>
        <v>入力済</v>
      </c>
      <c r="AV90" s="540" t="str">
        <f t="shared" si="45"/>
        <v/>
      </c>
      <c r="AW90" s="576" t="str">
        <f t="shared" si="56"/>
        <v/>
      </c>
      <c r="AX90" s="557" t="str">
        <f t="shared" si="46"/>
        <v/>
      </c>
      <c r="AY90" s="540" t="str">
        <f>IFERROR(VLOOKUP(K90,【参考】数式用!$AR$3:$AS$49, 2, FALSE), "")</f>
        <v/>
      </c>
      <c r="AZ90" s="557" t="str">
        <f t="shared" si="57"/>
        <v/>
      </c>
      <c r="BA90" s="560" t="str">
        <f t="shared" si="47"/>
        <v>入力済</v>
      </c>
      <c r="BB90" s="540" t="str">
        <f>IFERROR(VLOOKUP(K90,【参考】数式用!$AX$3:$AY$59, 2, FALSE), "")</f>
        <v/>
      </c>
      <c r="BC90" s="557" t="str">
        <f t="shared" si="58"/>
        <v/>
      </c>
      <c r="BD90" s="560" t="str">
        <f t="shared" si="48"/>
        <v>入力済</v>
      </c>
      <c r="BE90" s="560" t="str">
        <f t="shared" si="59"/>
        <v/>
      </c>
      <c r="BF90" s="560" t="str">
        <f t="shared" si="60"/>
        <v/>
      </c>
      <c r="BG90" s="560" t="str">
        <f t="shared" si="61"/>
        <v/>
      </c>
      <c r="BH90" s="560" t="str">
        <f t="shared" si="49"/>
        <v/>
      </c>
      <c r="BI90" s="560" t="str">
        <f t="shared" si="50"/>
        <v/>
      </c>
      <c r="BK90" s="27"/>
      <c r="BL90" s="607" t="str">
        <f t="shared" si="62"/>
        <v/>
      </c>
      <c r="BM90" s="607" t="str">
        <f t="shared" si="63"/>
        <v/>
      </c>
      <c r="BN90" s="607" t="str">
        <f t="shared" si="64"/>
        <v/>
      </c>
      <c r="BO90" s="608" t="str">
        <f>IF(BM90="","",ROUNDDOWN(L90*VLOOKUP(K90,【参考】数式用!$A$4:$J$42,10,FALSE)*AA90,0))</f>
        <v/>
      </c>
      <c r="BP90" s="607" t="str">
        <f t="shared" si="65"/>
        <v/>
      </c>
      <c r="BQ90" s="607" t="str">
        <f t="shared" si="66"/>
        <v/>
      </c>
      <c r="BR90" s="609" t="str">
        <f t="shared" si="67"/>
        <v/>
      </c>
      <c r="BS90" s="609" t="str">
        <f t="shared" si="68"/>
        <v/>
      </c>
      <c r="BT90" s="607" t="str">
        <f t="shared" si="69"/>
        <v/>
      </c>
      <c r="BU90" s="608" t="str">
        <f>IF(BT90="Ⅱロ有り",ROUNDDOWN(L90*VLOOKUP(K90,【参考】数式用!$A$4:$J$42,10,FALSE)*AA90,0),"")</f>
        <v/>
      </c>
      <c r="BV90" s="607" t="str">
        <f>IF(BT90="Ⅱロなし",ROUNDDOWN(L90*VLOOKUP(K90,【参考】数式用!$A$4:$J$42,8,FALSE)*AA90,0),"")</f>
        <v/>
      </c>
    </row>
    <row r="91" spans="1:74" ht="109.9" customHeight="1" thickBot="1">
      <c r="A91" s="303">
        <v>78</v>
      </c>
      <c r="B91" s="956" t="str">
        <f>IF(基本情報入力シート!B113="","",基本情報入力シート!B113)</f>
        <v/>
      </c>
      <c r="C91" s="957"/>
      <c r="D91" s="957"/>
      <c r="E91" s="957"/>
      <c r="F91" s="958"/>
      <c r="G91" s="304" t="str">
        <f>IF(基本情報入力シート!L113="", "", 基本情報入力シート!L113)</f>
        <v/>
      </c>
      <c r="H91" s="304" t="str">
        <f>IF(基本情報入力シート!Q113="", "", 基本情報入力シート!Q113)</f>
        <v/>
      </c>
      <c r="I91" s="304" t="str">
        <f>IF(基本情報入力シート!V113="", "", 基本情報入力シート!V113)</f>
        <v/>
      </c>
      <c r="J91" s="304" t="str">
        <f>IF(基本情報入力シート!W113="", "", 基本情報入力シート!W113)</f>
        <v/>
      </c>
      <c r="K91" s="304" t="str">
        <f>IF(基本情報入力シート!Z113="", "", 基本情報入力シート!Z113)</f>
        <v/>
      </c>
      <c r="L91" s="558" t="str">
        <f>IF(基本情報入力シート!AF113=0, "",基本情報入力シート!AF113)</f>
        <v/>
      </c>
      <c r="M91" s="524" t="str">
        <f>IF('別紙様式2-2（個票（４、５月））'!M91="","",'別紙様式2-2（個票（４、５月））'!M91)</f>
        <v/>
      </c>
      <c r="N91" s="523" t="str">
        <f>IF('別紙様式2-2（個票（４、５月））'!N91="","",'別紙様式2-2（個票（４、５月））'!N91)</f>
        <v/>
      </c>
      <c r="O91" s="286"/>
      <c r="P91" s="555" t="str">
        <f>IFERROR(VLOOKUP(K91,【参考】数式用!$A$2:$M$57,MATCH(O91,【参考】数式用!$G$3:$M$3,0)+6,0),"")</f>
        <v/>
      </c>
      <c r="Q91" s="310" t="s">
        <v>118</v>
      </c>
      <c r="R91" s="308"/>
      <c r="S91" s="309" t="s">
        <v>183</v>
      </c>
      <c r="T91" s="308"/>
      <c r="U91" s="309" t="s">
        <v>184</v>
      </c>
      <c r="V91" s="308"/>
      <c r="W91" s="309" t="s">
        <v>183</v>
      </c>
      <c r="X91" s="308"/>
      <c r="Y91" s="309" t="s">
        <v>185</v>
      </c>
      <c r="Z91" s="309" t="s">
        <v>186</v>
      </c>
      <c r="AA91" s="309" t="str">
        <f t="shared" si="71"/>
        <v/>
      </c>
      <c r="AB91" s="305" t="s">
        <v>187</v>
      </c>
      <c r="AC91" s="306" t="str">
        <f t="shared" si="51"/>
        <v/>
      </c>
      <c r="AD91" s="515" t="str">
        <f t="shared" si="52"/>
        <v/>
      </c>
      <c r="AE91" s="307" t="str">
        <f>IFERROR(ROUNDDOWN(ROUNDDOWN(ROUND(L91*VLOOKUP(K91,【参考】数式用!$A$2:$M$57,MATCH("処遇改善加算Ⅳ",【参考】数式用!$G$3:$M$3,0)+6,0),0),0)*AA91*0.5,0), "")</f>
        <v/>
      </c>
      <c r="AF91" s="318"/>
      <c r="AG91" s="319"/>
      <c r="AH91" s="319"/>
      <c r="AI91" s="318"/>
      <c r="AJ91" s="320"/>
      <c r="AK91" s="326"/>
      <c r="AL91" s="324" t="str">
        <f t="shared" si="41"/>
        <v/>
      </c>
      <c r="AM91" s="325" t="str">
        <f t="shared" si="53"/>
        <v/>
      </c>
      <c r="AN91" s="255"/>
      <c r="AO91" s="557" t="str">
        <f>IFERROR(VLOOKUP(K91,【参考】数式用!$A$2:$N$57,14,FALSE),"")</f>
        <v/>
      </c>
      <c r="AP91" s="557" t="str">
        <f t="shared" si="54"/>
        <v/>
      </c>
      <c r="AQ91" s="561" t="str">
        <f t="shared" si="42"/>
        <v/>
      </c>
      <c r="AR91" s="561" t="str">
        <f t="shared" si="70"/>
        <v>キャリアパス要件Ⅰ・Ⅱ_</v>
      </c>
      <c r="AS91" s="540" t="str">
        <f t="shared" si="43"/>
        <v>入力済</v>
      </c>
      <c r="AT91" s="557" t="str">
        <f t="shared" si="55"/>
        <v/>
      </c>
      <c r="AU91" s="540" t="str">
        <f t="shared" si="44"/>
        <v>入力済</v>
      </c>
      <c r="AV91" s="540" t="str">
        <f t="shared" si="45"/>
        <v/>
      </c>
      <c r="AW91" s="576" t="str">
        <f t="shared" si="56"/>
        <v/>
      </c>
      <c r="AX91" s="557" t="str">
        <f t="shared" si="46"/>
        <v/>
      </c>
      <c r="AY91" s="540" t="str">
        <f>IFERROR(VLOOKUP(K91,【参考】数式用!$AR$3:$AS$49, 2, FALSE), "")</f>
        <v/>
      </c>
      <c r="AZ91" s="557" t="str">
        <f t="shared" si="57"/>
        <v/>
      </c>
      <c r="BA91" s="560" t="str">
        <f t="shared" si="47"/>
        <v>入力済</v>
      </c>
      <c r="BB91" s="540" t="str">
        <f>IFERROR(VLOOKUP(K91,【参考】数式用!$AX$3:$AY$59, 2, FALSE), "")</f>
        <v/>
      </c>
      <c r="BC91" s="557" t="str">
        <f t="shared" si="58"/>
        <v/>
      </c>
      <c r="BD91" s="560" t="str">
        <f t="shared" si="48"/>
        <v>入力済</v>
      </c>
      <c r="BE91" s="560" t="str">
        <f t="shared" si="59"/>
        <v/>
      </c>
      <c r="BF91" s="560" t="str">
        <f t="shared" si="60"/>
        <v/>
      </c>
      <c r="BG91" s="560" t="str">
        <f t="shared" si="61"/>
        <v/>
      </c>
      <c r="BH91" s="560" t="str">
        <f t="shared" si="49"/>
        <v/>
      </c>
      <c r="BI91" s="560" t="str">
        <f t="shared" si="50"/>
        <v/>
      </c>
      <c r="BK91" s="27"/>
      <c r="BL91" s="607" t="str">
        <f t="shared" si="62"/>
        <v/>
      </c>
      <c r="BM91" s="607" t="str">
        <f t="shared" si="63"/>
        <v/>
      </c>
      <c r="BN91" s="607" t="str">
        <f t="shared" si="64"/>
        <v/>
      </c>
      <c r="BO91" s="608" t="str">
        <f>IF(BM91="","",ROUNDDOWN(L91*VLOOKUP(K91,【参考】数式用!$A$4:$J$42,10,FALSE)*AA91,0))</f>
        <v/>
      </c>
      <c r="BP91" s="607" t="str">
        <f t="shared" si="65"/>
        <v/>
      </c>
      <c r="BQ91" s="607" t="str">
        <f t="shared" si="66"/>
        <v/>
      </c>
      <c r="BR91" s="609" t="str">
        <f t="shared" si="67"/>
        <v/>
      </c>
      <c r="BS91" s="609" t="str">
        <f t="shared" si="68"/>
        <v/>
      </c>
      <c r="BT91" s="607" t="str">
        <f t="shared" si="69"/>
        <v/>
      </c>
      <c r="BU91" s="608" t="str">
        <f>IF(BT91="Ⅱロ有り",ROUNDDOWN(L91*VLOOKUP(K91,【参考】数式用!$A$4:$J$42,10,FALSE)*AA91,0),"")</f>
        <v/>
      </c>
      <c r="BV91" s="607" t="str">
        <f>IF(BT91="Ⅱロなし",ROUNDDOWN(L91*VLOOKUP(K91,【参考】数式用!$A$4:$J$42,8,FALSE)*AA91,0),"")</f>
        <v/>
      </c>
    </row>
    <row r="92" spans="1:74" ht="109.9" customHeight="1" thickBot="1">
      <c r="A92" s="303">
        <v>79</v>
      </c>
      <c r="B92" s="956" t="str">
        <f>IF(基本情報入力シート!B114="","",基本情報入力シート!B114)</f>
        <v/>
      </c>
      <c r="C92" s="957"/>
      <c r="D92" s="957"/>
      <c r="E92" s="957"/>
      <c r="F92" s="958"/>
      <c r="G92" s="304" t="str">
        <f>IF(基本情報入力シート!L114="", "", 基本情報入力シート!L114)</f>
        <v/>
      </c>
      <c r="H92" s="304" t="str">
        <f>IF(基本情報入力シート!Q114="", "", 基本情報入力シート!Q114)</f>
        <v/>
      </c>
      <c r="I92" s="304" t="str">
        <f>IF(基本情報入力シート!V114="", "", 基本情報入力シート!V114)</f>
        <v/>
      </c>
      <c r="J92" s="304" t="str">
        <f>IF(基本情報入力シート!W114="", "", 基本情報入力シート!W114)</f>
        <v/>
      </c>
      <c r="K92" s="304" t="str">
        <f>IF(基本情報入力シート!Z114="", "", 基本情報入力シート!Z114)</f>
        <v/>
      </c>
      <c r="L92" s="558" t="str">
        <f>IF(基本情報入力シート!AF114=0, "",基本情報入力シート!AF114)</f>
        <v/>
      </c>
      <c r="M92" s="524" t="str">
        <f>IF('別紙様式2-2（個票（４、５月））'!M92="","",'別紙様式2-2（個票（４、５月））'!M92)</f>
        <v/>
      </c>
      <c r="N92" s="523" t="str">
        <f>IF('別紙様式2-2（個票（４、５月））'!N92="","",'別紙様式2-2（個票（４、５月））'!N92)</f>
        <v/>
      </c>
      <c r="O92" s="286"/>
      <c r="P92" s="555" t="str">
        <f>IFERROR(VLOOKUP(K92,【参考】数式用!$A$2:$M$57,MATCH(O92,【参考】数式用!$G$3:$M$3,0)+6,0),"")</f>
        <v/>
      </c>
      <c r="Q92" s="310" t="s">
        <v>118</v>
      </c>
      <c r="R92" s="308"/>
      <c r="S92" s="309" t="s">
        <v>183</v>
      </c>
      <c r="T92" s="308"/>
      <c r="U92" s="309" t="s">
        <v>184</v>
      </c>
      <c r="V92" s="308"/>
      <c r="W92" s="309" t="s">
        <v>183</v>
      </c>
      <c r="X92" s="308"/>
      <c r="Y92" s="309" t="s">
        <v>185</v>
      </c>
      <c r="Z92" s="309" t="s">
        <v>186</v>
      </c>
      <c r="AA92" s="309" t="str">
        <f t="shared" si="71"/>
        <v/>
      </c>
      <c r="AB92" s="305" t="s">
        <v>187</v>
      </c>
      <c r="AC92" s="306" t="str">
        <f t="shared" si="51"/>
        <v/>
      </c>
      <c r="AD92" s="515" t="str">
        <f t="shared" si="52"/>
        <v/>
      </c>
      <c r="AE92" s="307" t="str">
        <f>IFERROR(ROUNDDOWN(ROUNDDOWN(ROUND(L92*VLOOKUP(K92,【参考】数式用!$A$2:$M$57,MATCH("処遇改善加算Ⅳ",【参考】数式用!$G$3:$M$3,0)+6,0),0),0)*AA92*0.5,0), "")</f>
        <v/>
      </c>
      <c r="AF92" s="318"/>
      <c r="AG92" s="319"/>
      <c r="AH92" s="319"/>
      <c r="AI92" s="318"/>
      <c r="AJ92" s="320"/>
      <c r="AK92" s="326"/>
      <c r="AL92" s="324" t="str">
        <f t="shared" si="41"/>
        <v/>
      </c>
      <c r="AM92" s="325" t="str">
        <f t="shared" si="53"/>
        <v/>
      </c>
      <c r="AN92" s="255"/>
      <c r="AO92" s="557" t="str">
        <f>IFERROR(VLOOKUP(K92,【参考】数式用!$A$2:$N$57,14,FALSE),"")</f>
        <v/>
      </c>
      <c r="AP92" s="557" t="str">
        <f t="shared" si="54"/>
        <v/>
      </c>
      <c r="AQ92" s="561" t="str">
        <f t="shared" si="42"/>
        <v/>
      </c>
      <c r="AR92" s="561" t="str">
        <f t="shared" si="70"/>
        <v>キャリアパス要件Ⅰ・Ⅱ_</v>
      </c>
      <c r="AS92" s="540" t="str">
        <f t="shared" si="43"/>
        <v>入力済</v>
      </c>
      <c r="AT92" s="557" t="str">
        <f t="shared" si="55"/>
        <v/>
      </c>
      <c r="AU92" s="540" t="str">
        <f t="shared" si="44"/>
        <v>入力済</v>
      </c>
      <c r="AV92" s="540" t="str">
        <f t="shared" si="45"/>
        <v/>
      </c>
      <c r="AW92" s="576" t="str">
        <f t="shared" si="56"/>
        <v/>
      </c>
      <c r="AX92" s="557" t="str">
        <f t="shared" si="46"/>
        <v/>
      </c>
      <c r="AY92" s="540" t="str">
        <f>IFERROR(VLOOKUP(K92,【参考】数式用!$AR$3:$AS$49, 2, FALSE), "")</f>
        <v/>
      </c>
      <c r="AZ92" s="557" t="str">
        <f t="shared" si="57"/>
        <v/>
      </c>
      <c r="BA92" s="560" t="str">
        <f t="shared" si="47"/>
        <v>入力済</v>
      </c>
      <c r="BB92" s="540" t="str">
        <f>IFERROR(VLOOKUP(K92,【参考】数式用!$AX$3:$AY$59, 2, FALSE), "")</f>
        <v/>
      </c>
      <c r="BC92" s="557" t="str">
        <f t="shared" si="58"/>
        <v/>
      </c>
      <c r="BD92" s="560" t="str">
        <f t="shared" si="48"/>
        <v>入力済</v>
      </c>
      <c r="BE92" s="560" t="str">
        <f t="shared" si="59"/>
        <v/>
      </c>
      <c r="BF92" s="560" t="str">
        <f t="shared" si="60"/>
        <v/>
      </c>
      <c r="BG92" s="560" t="str">
        <f t="shared" si="61"/>
        <v/>
      </c>
      <c r="BH92" s="560" t="str">
        <f t="shared" si="49"/>
        <v/>
      </c>
      <c r="BI92" s="560" t="str">
        <f t="shared" si="50"/>
        <v/>
      </c>
      <c r="BK92" s="27"/>
      <c r="BL92" s="607" t="str">
        <f t="shared" si="62"/>
        <v/>
      </c>
      <c r="BM92" s="607" t="str">
        <f t="shared" si="63"/>
        <v/>
      </c>
      <c r="BN92" s="607" t="str">
        <f t="shared" si="64"/>
        <v/>
      </c>
      <c r="BO92" s="608" t="str">
        <f>IF(BM92="","",ROUNDDOWN(L92*VLOOKUP(K92,【参考】数式用!$A$4:$J$42,10,FALSE)*AA92,0))</f>
        <v/>
      </c>
      <c r="BP92" s="607" t="str">
        <f t="shared" si="65"/>
        <v/>
      </c>
      <c r="BQ92" s="607" t="str">
        <f t="shared" si="66"/>
        <v/>
      </c>
      <c r="BR92" s="609" t="str">
        <f t="shared" si="67"/>
        <v/>
      </c>
      <c r="BS92" s="609" t="str">
        <f t="shared" si="68"/>
        <v/>
      </c>
      <c r="BT92" s="607" t="str">
        <f t="shared" si="69"/>
        <v/>
      </c>
      <c r="BU92" s="608" t="str">
        <f>IF(BT92="Ⅱロ有り",ROUNDDOWN(L92*VLOOKUP(K92,【参考】数式用!$A$4:$J$42,10,FALSE)*AA92,0),"")</f>
        <v/>
      </c>
      <c r="BV92" s="607" t="str">
        <f>IF(BT92="Ⅱロなし",ROUNDDOWN(L92*VLOOKUP(K92,【参考】数式用!$A$4:$J$42,8,FALSE)*AA92,0),"")</f>
        <v/>
      </c>
    </row>
    <row r="93" spans="1:74" ht="109.9" customHeight="1" thickBot="1">
      <c r="A93" s="303">
        <v>80</v>
      </c>
      <c r="B93" s="956" t="str">
        <f>IF(基本情報入力シート!B115="","",基本情報入力シート!B115)</f>
        <v/>
      </c>
      <c r="C93" s="957"/>
      <c r="D93" s="957"/>
      <c r="E93" s="957"/>
      <c r="F93" s="958"/>
      <c r="G93" s="304" t="str">
        <f>IF(基本情報入力シート!L115="", "", 基本情報入力シート!L115)</f>
        <v/>
      </c>
      <c r="H93" s="304" t="str">
        <f>IF(基本情報入力シート!Q115="", "", 基本情報入力シート!Q115)</f>
        <v/>
      </c>
      <c r="I93" s="304" t="str">
        <f>IF(基本情報入力シート!V115="", "", 基本情報入力シート!V115)</f>
        <v/>
      </c>
      <c r="J93" s="304" t="str">
        <f>IF(基本情報入力シート!W115="", "", 基本情報入力シート!W115)</f>
        <v/>
      </c>
      <c r="K93" s="304" t="str">
        <f>IF(基本情報入力シート!Z115="", "", 基本情報入力シート!Z115)</f>
        <v/>
      </c>
      <c r="L93" s="558" t="str">
        <f>IF(基本情報入力シート!AF115=0, "",基本情報入力シート!AF115)</f>
        <v/>
      </c>
      <c r="M93" s="524" t="str">
        <f>IF('別紙様式2-2（個票（４、５月））'!M93="","",'別紙様式2-2（個票（４、５月））'!M93)</f>
        <v/>
      </c>
      <c r="N93" s="523" t="str">
        <f>IF('別紙様式2-2（個票（４、５月））'!N93="","",'別紙様式2-2（個票（４、５月））'!N93)</f>
        <v/>
      </c>
      <c r="O93" s="286"/>
      <c r="P93" s="555" t="str">
        <f>IFERROR(VLOOKUP(K93,【参考】数式用!$A$2:$M$57,MATCH(O93,【参考】数式用!$G$3:$M$3,0)+6,0),"")</f>
        <v/>
      </c>
      <c r="Q93" s="310" t="s">
        <v>118</v>
      </c>
      <c r="R93" s="308"/>
      <c r="S93" s="309" t="s">
        <v>183</v>
      </c>
      <c r="T93" s="308"/>
      <c r="U93" s="309" t="s">
        <v>184</v>
      </c>
      <c r="V93" s="308"/>
      <c r="W93" s="309" t="s">
        <v>183</v>
      </c>
      <c r="X93" s="308"/>
      <c r="Y93" s="309" t="s">
        <v>185</v>
      </c>
      <c r="Z93" s="309" t="s">
        <v>186</v>
      </c>
      <c r="AA93" s="309" t="str">
        <f t="shared" si="71"/>
        <v/>
      </c>
      <c r="AB93" s="305" t="s">
        <v>187</v>
      </c>
      <c r="AC93" s="306" t="str">
        <f t="shared" si="51"/>
        <v/>
      </c>
      <c r="AD93" s="515" t="str">
        <f t="shared" si="52"/>
        <v/>
      </c>
      <c r="AE93" s="307" t="str">
        <f>IFERROR(ROUNDDOWN(ROUNDDOWN(ROUND(L93*VLOOKUP(K93,【参考】数式用!$A$2:$M$57,MATCH("処遇改善加算Ⅳ",【参考】数式用!$G$3:$M$3,0)+6,0),0),0)*AA93*0.5,0), "")</f>
        <v/>
      </c>
      <c r="AF93" s="318"/>
      <c r="AG93" s="319"/>
      <c r="AH93" s="319"/>
      <c r="AI93" s="318"/>
      <c r="AJ93" s="320"/>
      <c r="AK93" s="326"/>
      <c r="AL93" s="324" t="str">
        <f t="shared" si="41"/>
        <v/>
      </c>
      <c r="AM93" s="325" t="str">
        <f t="shared" si="53"/>
        <v/>
      </c>
      <c r="AN93" s="255"/>
      <c r="AO93" s="557" t="str">
        <f>IFERROR(VLOOKUP(K93,【参考】数式用!$A$2:$N$57,14,FALSE),"")</f>
        <v/>
      </c>
      <c r="AP93" s="557" t="str">
        <f t="shared" si="54"/>
        <v/>
      </c>
      <c r="AQ93" s="561" t="str">
        <f t="shared" si="42"/>
        <v/>
      </c>
      <c r="AR93" s="561" t="str">
        <f t="shared" si="70"/>
        <v>キャリアパス要件Ⅰ・Ⅱ_</v>
      </c>
      <c r="AS93" s="540" t="str">
        <f t="shared" si="43"/>
        <v>入力済</v>
      </c>
      <c r="AT93" s="557" t="str">
        <f t="shared" si="55"/>
        <v/>
      </c>
      <c r="AU93" s="540" t="str">
        <f t="shared" si="44"/>
        <v>入力済</v>
      </c>
      <c r="AV93" s="540" t="str">
        <f t="shared" si="45"/>
        <v/>
      </c>
      <c r="AW93" s="576" t="str">
        <f t="shared" si="56"/>
        <v/>
      </c>
      <c r="AX93" s="557" t="str">
        <f t="shared" si="46"/>
        <v/>
      </c>
      <c r="AY93" s="540" t="str">
        <f>IFERROR(VLOOKUP(K93,【参考】数式用!$AR$3:$AS$49, 2, FALSE), "")</f>
        <v/>
      </c>
      <c r="AZ93" s="557" t="str">
        <f t="shared" si="57"/>
        <v/>
      </c>
      <c r="BA93" s="560" t="str">
        <f t="shared" si="47"/>
        <v>入力済</v>
      </c>
      <c r="BB93" s="540" t="str">
        <f>IFERROR(VLOOKUP(K93,【参考】数式用!$AX$3:$AY$59, 2, FALSE), "")</f>
        <v/>
      </c>
      <c r="BC93" s="557" t="str">
        <f t="shared" si="58"/>
        <v/>
      </c>
      <c r="BD93" s="560" t="str">
        <f t="shared" si="48"/>
        <v>入力済</v>
      </c>
      <c r="BE93" s="560" t="str">
        <f t="shared" si="59"/>
        <v/>
      </c>
      <c r="BF93" s="560" t="str">
        <f t="shared" si="60"/>
        <v/>
      </c>
      <c r="BG93" s="560" t="str">
        <f t="shared" si="61"/>
        <v/>
      </c>
      <c r="BH93" s="560" t="str">
        <f t="shared" si="49"/>
        <v/>
      </c>
      <c r="BI93" s="560" t="str">
        <f t="shared" si="50"/>
        <v/>
      </c>
      <c r="BK93" s="27"/>
      <c r="BL93" s="607" t="str">
        <f t="shared" si="62"/>
        <v/>
      </c>
      <c r="BM93" s="607" t="str">
        <f t="shared" si="63"/>
        <v/>
      </c>
      <c r="BN93" s="607" t="str">
        <f t="shared" si="64"/>
        <v/>
      </c>
      <c r="BO93" s="608" t="str">
        <f>IF(BM93="","",ROUNDDOWN(L93*VLOOKUP(K93,【参考】数式用!$A$4:$J$42,10,FALSE)*AA93,0))</f>
        <v/>
      </c>
      <c r="BP93" s="607" t="str">
        <f t="shared" si="65"/>
        <v/>
      </c>
      <c r="BQ93" s="607" t="str">
        <f t="shared" si="66"/>
        <v/>
      </c>
      <c r="BR93" s="609" t="str">
        <f t="shared" si="67"/>
        <v/>
      </c>
      <c r="BS93" s="609" t="str">
        <f t="shared" si="68"/>
        <v/>
      </c>
      <c r="BT93" s="607" t="str">
        <f t="shared" si="69"/>
        <v/>
      </c>
      <c r="BU93" s="608" t="str">
        <f>IF(BT93="Ⅱロ有り",ROUNDDOWN(L93*VLOOKUP(K93,【参考】数式用!$A$4:$J$42,10,FALSE)*AA93,0),"")</f>
        <v/>
      </c>
      <c r="BV93" s="607" t="str">
        <f>IF(BT93="Ⅱロなし",ROUNDDOWN(L93*VLOOKUP(K93,【参考】数式用!$A$4:$J$42,8,FALSE)*AA93,0),"")</f>
        <v/>
      </c>
    </row>
    <row r="94" spans="1:74" ht="109.9" customHeight="1" thickBot="1">
      <c r="A94" s="303">
        <v>81</v>
      </c>
      <c r="B94" s="956" t="str">
        <f>IF(基本情報入力シート!B116="","",基本情報入力シート!B116)</f>
        <v/>
      </c>
      <c r="C94" s="957"/>
      <c r="D94" s="957"/>
      <c r="E94" s="957"/>
      <c r="F94" s="958"/>
      <c r="G94" s="304" t="str">
        <f>IF(基本情報入力シート!L116="", "", 基本情報入力シート!L116)</f>
        <v/>
      </c>
      <c r="H94" s="304" t="str">
        <f>IF(基本情報入力シート!Q116="", "", 基本情報入力シート!Q116)</f>
        <v/>
      </c>
      <c r="I94" s="304" t="str">
        <f>IF(基本情報入力シート!V116="", "", 基本情報入力シート!V116)</f>
        <v/>
      </c>
      <c r="J94" s="304" t="str">
        <f>IF(基本情報入力シート!W116="", "", 基本情報入力シート!W116)</f>
        <v/>
      </c>
      <c r="K94" s="304" t="str">
        <f>IF(基本情報入力シート!Z116="", "", 基本情報入力シート!Z116)</f>
        <v/>
      </c>
      <c r="L94" s="558" t="str">
        <f>IF(基本情報入力シート!AF116=0, "",基本情報入力シート!AF116)</f>
        <v/>
      </c>
      <c r="M94" s="524" t="str">
        <f>IF('別紙様式2-2（個票（４、５月））'!M94="","",'別紙様式2-2（個票（４、５月））'!M94)</f>
        <v/>
      </c>
      <c r="N94" s="523" t="str">
        <f>IF('別紙様式2-2（個票（４、５月））'!N94="","",'別紙様式2-2（個票（４、５月））'!N94)</f>
        <v/>
      </c>
      <c r="O94" s="286"/>
      <c r="P94" s="555" t="str">
        <f>IFERROR(VLOOKUP(K94,【参考】数式用!$A$2:$M$57,MATCH(O94,【参考】数式用!$G$3:$M$3,0)+6,0),"")</f>
        <v/>
      </c>
      <c r="Q94" s="310" t="s">
        <v>118</v>
      </c>
      <c r="R94" s="308"/>
      <c r="S94" s="309" t="s">
        <v>183</v>
      </c>
      <c r="T94" s="308"/>
      <c r="U94" s="309" t="s">
        <v>184</v>
      </c>
      <c r="V94" s="308"/>
      <c r="W94" s="309" t="s">
        <v>183</v>
      </c>
      <c r="X94" s="308"/>
      <c r="Y94" s="309" t="s">
        <v>120</v>
      </c>
      <c r="Z94" s="309" t="s">
        <v>186</v>
      </c>
      <c r="AA94" s="309" t="str">
        <f t="shared" si="71"/>
        <v/>
      </c>
      <c r="AB94" s="305" t="s">
        <v>187</v>
      </c>
      <c r="AC94" s="306" t="str">
        <f t="shared" si="51"/>
        <v/>
      </c>
      <c r="AD94" s="515" t="str">
        <f t="shared" si="52"/>
        <v/>
      </c>
      <c r="AE94" s="307" t="str">
        <f>IFERROR(ROUNDDOWN(ROUNDDOWN(ROUND(L94*VLOOKUP(K94,【参考】数式用!$A$2:$M$57,MATCH("処遇改善加算Ⅳ",【参考】数式用!$G$3:$M$3,0)+6,0),0),0)*AA94*0.5,0), "")</f>
        <v/>
      </c>
      <c r="AF94" s="318"/>
      <c r="AG94" s="319"/>
      <c r="AH94" s="319"/>
      <c r="AI94" s="318"/>
      <c r="AJ94" s="320"/>
      <c r="AK94" s="326"/>
      <c r="AL94" s="324" t="str">
        <f t="shared" si="41"/>
        <v/>
      </c>
      <c r="AM94" s="325" t="str">
        <f t="shared" si="53"/>
        <v/>
      </c>
      <c r="AN94" s="255"/>
      <c r="AO94" s="557" t="str">
        <f>IFERROR(VLOOKUP(K94,【参考】数式用!$A$2:$N$57,14,FALSE),"")</f>
        <v/>
      </c>
      <c r="AP94" s="557" t="str">
        <f t="shared" si="54"/>
        <v/>
      </c>
      <c r="AQ94" s="561" t="str">
        <f t="shared" si="42"/>
        <v/>
      </c>
      <c r="AR94" s="561" t="str">
        <f t="shared" si="70"/>
        <v>キャリアパス要件Ⅰ・Ⅱ_</v>
      </c>
      <c r="AS94" s="540" t="str">
        <f t="shared" si="43"/>
        <v>入力済</v>
      </c>
      <c r="AT94" s="557" t="str">
        <f t="shared" si="55"/>
        <v/>
      </c>
      <c r="AU94" s="540" t="str">
        <f t="shared" si="44"/>
        <v>入力済</v>
      </c>
      <c r="AV94" s="540" t="str">
        <f t="shared" si="45"/>
        <v/>
      </c>
      <c r="AW94" s="576" t="str">
        <f t="shared" si="56"/>
        <v/>
      </c>
      <c r="AX94" s="557" t="str">
        <f t="shared" si="46"/>
        <v/>
      </c>
      <c r="AY94" s="540" t="str">
        <f>IFERROR(VLOOKUP(K94,【参考】数式用!$AR$3:$AS$49, 2, FALSE), "")</f>
        <v/>
      </c>
      <c r="AZ94" s="557" t="str">
        <f t="shared" si="57"/>
        <v/>
      </c>
      <c r="BA94" s="560" t="str">
        <f t="shared" si="47"/>
        <v>入力済</v>
      </c>
      <c r="BB94" s="540" t="str">
        <f>IFERROR(VLOOKUP(K94,【参考】数式用!$AX$3:$AY$59, 2, FALSE), "")</f>
        <v/>
      </c>
      <c r="BC94" s="557" t="str">
        <f t="shared" si="58"/>
        <v/>
      </c>
      <c r="BD94" s="560" t="str">
        <f t="shared" si="48"/>
        <v>入力済</v>
      </c>
      <c r="BE94" s="560" t="str">
        <f t="shared" si="59"/>
        <v/>
      </c>
      <c r="BF94" s="560" t="str">
        <f t="shared" si="60"/>
        <v/>
      </c>
      <c r="BG94" s="560" t="str">
        <f t="shared" si="61"/>
        <v/>
      </c>
      <c r="BH94" s="560" t="str">
        <f t="shared" si="49"/>
        <v/>
      </c>
      <c r="BI94" s="560" t="str">
        <f t="shared" si="50"/>
        <v/>
      </c>
      <c r="BK94" s="27"/>
      <c r="BL94" s="607" t="str">
        <f t="shared" si="62"/>
        <v/>
      </c>
      <c r="BM94" s="607" t="str">
        <f t="shared" si="63"/>
        <v/>
      </c>
      <c r="BN94" s="607" t="str">
        <f t="shared" si="64"/>
        <v/>
      </c>
      <c r="BO94" s="608" t="str">
        <f>IF(BM94="","",ROUNDDOWN(L94*VLOOKUP(K94,【参考】数式用!$A$4:$J$42,10,FALSE)*AA94,0))</f>
        <v/>
      </c>
      <c r="BP94" s="607" t="str">
        <f t="shared" si="65"/>
        <v/>
      </c>
      <c r="BQ94" s="607" t="str">
        <f t="shared" si="66"/>
        <v/>
      </c>
      <c r="BR94" s="609" t="str">
        <f t="shared" si="67"/>
        <v/>
      </c>
      <c r="BS94" s="609" t="str">
        <f t="shared" si="68"/>
        <v/>
      </c>
      <c r="BT94" s="607" t="str">
        <f t="shared" si="69"/>
        <v/>
      </c>
      <c r="BU94" s="608" t="str">
        <f>IF(BT94="Ⅱロ有り",ROUNDDOWN(L94*VLOOKUP(K94,【参考】数式用!$A$4:$J$42,10,FALSE)*AA94,0),"")</f>
        <v/>
      </c>
      <c r="BV94" s="607" t="str">
        <f>IF(BT94="Ⅱロなし",ROUNDDOWN(L94*VLOOKUP(K94,【参考】数式用!$A$4:$J$42,8,FALSE)*AA94,0),"")</f>
        <v/>
      </c>
    </row>
    <row r="95" spans="1:74" ht="109.9" customHeight="1" thickBot="1">
      <c r="A95" s="303">
        <v>82</v>
      </c>
      <c r="B95" s="956" t="str">
        <f>IF(基本情報入力シート!B117="","",基本情報入力シート!B117)</f>
        <v/>
      </c>
      <c r="C95" s="957"/>
      <c r="D95" s="957"/>
      <c r="E95" s="957"/>
      <c r="F95" s="958"/>
      <c r="G95" s="304" t="str">
        <f>IF(基本情報入力シート!L117="", "", 基本情報入力シート!L117)</f>
        <v/>
      </c>
      <c r="H95" s="304" t="str">
        <f>IF(基本情報入力シート!Q117="", "", 基本情報入力シート!Q117)</f>
        <v/>
      </c>
      <c r="I95" s="304" t="str">
        <f>IF(基本情報入力シート!V117="", "", 基本情報入力シート!V117)</f>
        <v/>
      </c>
      <c r="J95" s="304" t="str">
        <f>IF(基本情報入力シート!W117="", "", 基本情報入力シート!W117)</f>
        <v/>
      </c>
      <c r="K95" s="304" t="str">
        <f>IF(基本情報入力シート!Z117="", "", 基本情報入力シート!Z117)</f>
        <v/>
      </c>
      <c r="L95" s="558" t="str">
        <f>IF(基本情報入力シート!AF117=0, "",基本情報入力シート!AF117)</f>
        <v/>
      </c>
      <c r="M95" s="524" t="str">
        <f>IF('別紙様式2-2（個票（４、５月））'!M95="","",'別紙様式2-2（個票（４、５月））'!M95)</f>
        <v/>
      </c>
      <c r="N95" s="523" t="str">
        <f>IF('別紙様式2-2（個票（４、５月））'!N95="","",'別紙様式2-2（個票（４、５月））'!N95)</f>
        <v/>
      </c>
      <c r="O95" s="286"/>
      <c r="P95" s="555" t="str">
        <f>IFERROR(VLOOKUP(K95,【参考】数式用!$A$2:$M$57,MATCH(O95,【参考】数式用!$G$3:$M$3,0)+6,0),"")</f>
        <v/>
      </c>
      <c r="Q95" s="310" t="s">
        <v>118</v>
      </c>
      <c r="R95" s="308"/>
      <c r="S95" s="309" t="s">
        <v>183</v>
      </c>
      <c r="T95" s="308"/>
      <c r="U95" s="309" t="s">
        <v>184</v>
      </c>
      <c r="V95" s="308"/>
      <c r="W95" s="309" t="s">
        <v>183</v>
      </c>
      <c r="X95" s="308"/>
      <c r="Y95" s="309" t="s">
        <v>185</v>
      </c>
      <c r="Z95" s="309" t="s">
        <v>186</v>
      </c>
      <c r="AA95" s="309" t="str">
        <f t="shared" si="71"/>
        <v/>
      </c>
      <c r="AB95" s="305" t="s">
        <v>187</v>
      </c>
      <c r="AC95" s="306" t="str">
        <f t="shared" si="51"/>
        <v/>
      </c>
      <c r="AD95" s="515" t="str">
        <f t="shared" si="52"/>
        <v/>
      </c>
      <c r="AE95" s="307" t="str">
        <f>IFERROR(ROUNDDOWN(ROUNDDOWN(ROUND(L95*VLOOKUP(K95,【参考】数式用!$A$2:$M$57,MATCH("処遇改善加算Ⅳ",【参考】数式用!$G$3:$M$3,0)+6,0),0),0)*AA95*0.5,0), "")</f>
        <v/>
      </c>
      <c r="AF95" s="318"/>
      <c r="AG95" s="319"/>
      <c r="AH95" s="319"/>
      <c r="AI95" s="318"/>
      <c r="AJ95" s="320"/>
      <c r="AK95" s="326"/>
      <c r="AL95" s="324" t="str">
        <f t="shared" si="41"/>
        <v/>
      </c>
      <c r="AM95" s="325" t="str">
        <f t="shared" si="53"/>
        <v/>
      </c>
      <c r="AN95" s="255"/>
      <c r="AO95" s="557" t="str">
        <f>IFERROR(VLOOKUP(K95,【参考】数式用!$A$2:$N$57,14,FALSE),"")</f>
        <v/>
      </c>
      <c r="AP95" s="557" t="str">
        <f t="shared" si="54"/>
        <v/>
      </c>
      <c r="AQ95" s="561" t="str">
        <f t="shared" si="42"/>
        <v/>
      </c>
      <c r="AR95" s="561" t="str">
        <f t="shared" si="70"/>
        <v>キャリアパス要件Ⅰ・Ⅱ_</v>
      </c>
      <c r="AS95" s="540" t="str">
        <f t="shared" si="43"/>
        <v>入力済</v>
      </c>
      <c r="AT95" s="557" t="str">
        <f t="shared" si="55"/>
        <v/>
      </c>
      <c r="AU95" s="540" t="str">
        <f t="shared" si="44"/>
        <v>入力済</v>
      </c>
      <c r="AV95" s="540" t="str">
        <f t="shared" si="45"/>
        <v/>
      </c>
      <c r="AW95" s="576" t="str">
        <f t="shared" si="56"/>
        <v/>
      </c>
      <c r="AX95" s="557" t="str">
        <f t="shared" si="46"/>
        <v/>
      </c>
      <c r="AY95" s="540" t="str">
        <f>IFERROR(VLOOKUP(K95,【参考】数式用!$AR$3:$AS$49, 2, FALSE), "")</f>
        <v/>
      </c>
      <c r="AZ95" s="557" t="str">
        <f t="shared" si="57"/>
        <v/>
      </c>
      <c r="BA95" s="560" t="str">
        <f t="shared" si="47"/>
        <v>入力済</v>
      </c>
      <c r="BB95" s="540" t="str">
        <f>IFERROR(VLOOKUP(K95,【参考】数式用!$AX$3:$AY$59, 2, FALSE), "")</f>
        <v/>
      </c>
      <c r="BC95" s="557" t="str">
        <f t="shared" si="58"/>
        <v/>
      </c>
      <c r="BD95" s="560" t="str">
        <f t="shared" si="48"/>
        <v>入力済</v>
      </c>
      <c r="BE95" s="560" t="str">
        <f t="shared" si="59"/>
        <v/>
      </c>
      <c r="BF95" s="560" t="str">
        <f t="shared" si="60"/>
        <v/>
      </c>
      <c r="BG95" s="560" t="str">
        <f t="shared" si="61"/>
        <v/>
      </c>
      <c r="BH95" s="560" t="str">
        <f t="shared" si="49"/>
        <v/>
      </c>
      <c r="BI95" s="560" t="str">
        <f t="shared" si="50"/>
        <v/>
      </c>
      <c r="BK95" s="27"/>
      <c r="BL95" s="607" t="str">
        <f t="shared" si="62"/>
        <v/>
      </c>
      <c r="BM95" s="607" t="str">
        <f t="shared" si="63"/>
        <v/>
      </c>
      <c r="BN95" s="607" t="str">
        <f t="shared" si="64"/>
        <v/>
      </c>
      <c r="BO95" s="608" t="str">
        <f>IF(BM95="","",ROUNDDOWN(L95*VLOOKUP(K95,【参考】数式用!$A$4:$J$42,10,FALSE)*AA95,0))</f>
        <v/>
      </c>
      <c r="BP95" s="607" t="str">
        <f t="shared" si="65"/>
        <v/>
      </c>
      <c r="BQ95" s="607" t="str">
        <f t="shared" si="66"/>
        <v/>
      </c>
      <c r="BR95" s="609" t="str">
        <f t="shared" si="67"/>
        <v/>
      </c>
      <c r="BS95" s="609" t="str">
        <f t="shared" si="68"/>
        <v/>
      </c>
      <c r="BT95" s="607" t="str">
        <f t="shared" si="69"/>
        <v/>
      </c>
      <c r="BU95" s="608" t="str">
        <f>IF(BT95="Ⅱロ有り",ROUNDDOWN(L95*VLOOKUP(K95,【参考】数式用!$A$4:$J$42,10,FALSE)*AA95,0),"")</f>
        <v/>
      </c>
      <c r="BV95" s="607" t="str">
        <f>IF(BT95="Ⅱロなし",ROUNDDOWN(L95*VLOOKUP(K95,【参考】数式用!$A$4:$J$42,8,FALSE)*AA95,0),"")</f>
        <v/>
      </c>
    </row>
    <row r="96" spans="1:74" ht="109.9" customHeight="1" thickBot="1">
      <c r="A96" s="303">
        <v>83</v>
      </c>
      <c r="B96" s="956" t="str">
        <f>IF(基本情報入力シート!B118="","",基本情報入力シート!B118)</f>
        <v/>
      </c>
      <c r="C96" s="957"/>
      <c r="D96" s="957"/>
      <c r="E96" s="957"/>
      <c r="F96" s="958"/>
      <c r="G96" s="304" t="str">
        <f>IF(基本情報入力シート!L118="", "", 基本情報入力シート!L118)</f>
        <v/>
      </c>
      <c r="H96" s="304" t="str">
        <f>IF(基本情報入力シート!Q118="", "", 基本情報入力シート!Q118)</f>
        <v/>
      </c>
      <c r="I96" s="304" t="str">
        <f>IF(基本情報入力シート!V118="", "", 基本情報入力シート!V118)</f>
        <v/>
      </c>
      <c r="J96" s="304" t="str">
        <f>IF(基本情報入力シート!W118="", "", 基本情報入力シート!W118)</f>
        <v/>
      </c>
      <c r="K96" s="304" t="str">
        <f>IF(基本情報入力シート!Z118="", "", 基本情報入力シート!Z118)</f>
        <v/>
      </c>
      <c r="L96" s="558" t="str">
        <f>IF(基本情報入力シート!AF118=0, "",基本情報入力シート!AF118)</f>
        <v/>
      </c>
      <c r="M96" s="524" t="str">
        <f>IF('別紙様式2-2（個票（４、５月））'!M96="","",'別紙様式2-2（個票（４、５月））'!M96)</f>
        <v/>
      </c>
      <c r="N96" s="523" t="str">
        <f>IF('別紙様式2-2（個票（４、５月））'!N96="","",'別紙様式2-2（個票（４、５月））'!N96)</f>
        <v/>
      </c>
      <c r="O96" s="286"/>
      <c r="P96" s="555" t="str">
        <f>IFERROR(VLOOKUP(K96,【参考】数式用!$A$2:$M$57,MATCH(O96,【参考】数式用!$G$3:$M$3,0)+6,0),"")</f>
        <v/>
      </c>
      <c r="Q96" s="310" t="s">
        <v>118</v>
      </c>
      <c r="R96" s="308"/>
      <c r="S96" s="309" t="s">
        <v>183</v>
      </c>
      <c r="T96" s="308"/>
      <c r="U96" s="309" t="s">
        <v>184</v>
      </c>
      <c r="V96" s="308"/>
      <c r="W96" s="309" t="s">
        <v>183</v>
      </c>
      <c r="X96" s="308"/>
      <c r="Y96" s="309" t="s">
        <v>185</v>
      </c>
      <c r="Z96" s="309" t="s">
        <v>186</v>
      </c>
      <c r="AA96" s="309" t="str">
        <f t="shared" si="71"/>
        <v/>
      </c>
      <c r="AB96" s="305" t="s">
        <v>187</v>
      </c>
      <c r="AC96" s="306" t="str">
        <f t="shared" si="51"/>
        <v/>
      </c>
      <c r="AD96" s="515" t="str">
        <f t="shared" si="52"/>
        <v/>
      </c>
      <c r="AE96" s="307" t="str">
        <f>IFERROR(ROUNDDOWN(ROUNDDOWN(ROUND(L96*VLOOKUP(K96,【参考】数式用!$A$2:$M$57,MATCH("処遇改善加算Ⅳ",【参考】数式用!$G$3:$M$3,0)+6,0),0),0)*AA96*0.5,0), "")</f>
        <v/>
      </c>
      <c r="AF96" s="318"/>
      <c r="AG96" s="319"/>
      <c r="AH96" s="319"/>
      <c r="AI96" s="318"/>
      <c r="AJ96" s="320"/>
      <c r="AK96" s="326"/>
      <c r="AL96" s="324" t="str">
        <f t="shared" si="41"/>
        <v/>
      </c>
      <c r="AM96" s="325" t="str">
        <f t="shared" si="53"/>
        <v/>
      </c>
      <c r="AN96" s="255"/>
      <c r="AO96" s="557" t="str">
        <f>IFERROR(VLOOKUP(K96,【参考】数式用!$A$2:$N$57,14,FALSE),"")</f>
        <v/>
      </c>
      <c r="AP96" s="557" t="str">
        <f t="shared" si="54"/>
        <v/>
      </c>
      <c r="AQ96" s="561" t="str">
        <f t="shared" si="42"/>
        <v/>
      </c>
      <c r="AR96" s="561" t="str">
        <f t="shared" si="70"/>
        <v>キャリアパス要件Ⅰ・Ⅱ_</v>
      </c>
      <c r="AS96" s="540" t="str">
        <f t="shared" si="43"/>
        <v>入力済</v>
      </c>
      <c r="AT96" s="557" t="str">
        <f t="shared" si="55"/>
        <v/>
      </c>
      <c r="AU96" s="540" t="str">
        <f t="shared" si="44"/>
        <v>入力済</v>
      </c>
      <c r="AV96" s="540" t="str">
        <f t="shared" si="45"/>
        <v/>
      </c>
      <c r="AW96" s="576" t="str">
        <f t="shared" si="56"/>
        <v/>
      </c>
      <c r="AX96" s="557" t="str">
        <f t="shared" si="46"/>
        <v/>
      </c>
      <c r="AY96" s="540" t="str">
        <f>IFERROR(VLOOKUP(K96,【参考】数式用!$AR$3:$AS$49, 2, FALSE), "")</f>
        <v/>
      </c>
      <c r="AZ96" s="557" t="str">
        <f t="shared" si="57"/>
        <v/>
      </c>
      <c r="BA96" s="560" t="str">
        <f t="shared" si="47"/>
        <v>入力済</v>
      </c>
      <c r="BB96" s="540" t="str">
        <f>IFERROR(VLOOKUP(K96,【参考】数式用!$AX$3:$AY$59, 2, FALSE), "")</f>
        <v/>
      </c>
      <c r="BC96" s="557" t="str">
        <f t="shared" si="58"/>
        <v/>
      </c>
      <c r="BD96" s="560" t="str">
        <f t="shared" si="48"/>
        <v>入力済</v>
      </c>
      <c r="BE96" s="560" t="str">
        <f t="shared" si="59"/>
        <v/>
      </c>
      <c r="BF96" s="560" t="str">
        <f t="shared" si="60"/>
        <v/>
      </c>
      <c r="BG96" s="560" t="str">
        <f t="shared" si="61"/>
        <v/>
      </c>
      <c r="BH96" s="560" t="str">
        <f t="shared" si="49"/>
        <v/>
      </c>
      <c r="BI96" s="560" t="str">
        <f t="shared" si="50"/>
        <v/>
      </c>
      <c r="BK96" s="27"/>
      <c r="BL96" s="607" t="str">
        <f t="shared" si="62"/>
        <v/>
      </c>
      <c r="BM96" s="607" t="str">
        <f t="shared" si="63"/>
        <v/>
      </c>
      <c r="BN96" s="607" t="str">
        <f t="shared" si="64"/>
        <v/>
      </c>
      <c r="BO96" s="608" t="str">
        <f>IF(BM96="","",ROUNDDOWN(L96*VLOOKUP(K96,【参考】数式用!$A$4:$J$42,10,FALSE)*AA96,0))</f>
        <v/>
      </c>
      <c r="BP96" s="607" t="str">
        <f t="shared" si="65"/>
        <v/>
      </c>
      <c r="BQ96" s="607" t="str">
        <f t="shared" si="66"/>
        <v/>
      </c>
      <c r="BR96" s="609" t="str">
        <f t="shared" si="67"/>
        <v/>
      </c>
      <c r="BS96" s="609" t="str">
        <f t="shared" si="68"/>
        <v/>
      </c>
      <c r="BT96" s="607" t="str">
        <f t="shared" si="69"/>
        <v/>
      </c>
      <c r="BU96" s="608" t="str">
        <f>IF(BT96="Ⅱロ有り",ROUNDDOWN(L96*VLOOKUP(K96,【参考】数式用!$A$4:$J$42,10,FALSE)*AA96,0),"")</f>
        <v/>
      </c>
      <c r="BV96" s="607" t="str">
        <f>IF(BT96="Ⅱロなし",ROUNDDOWN(L96*VLOOKUP(K96,【参考】数式用!$A$4:$J$42,8,FALSE)*AA96,0),"")</f>
        <v/>
      </c>
    </row>
    <row r="97" spans="1:74" ht="109.9" customHeight="1" thickBot="1">
      <c r="A97" s="303">
        <v>84</v>
      </c>
      <c r="B97" s="956" t="str">
        <f>IF(基本情報入力シート!B119="","",基本情報入力シート!B119)</f>
        <v/>
      </c>
      <c r="C97" s="957"/>
      <c r="D97" s="957"/>
      <c r="E97" s="957"/>
      <c r="F97" s="958"/>
      <c r="G97" s="304" t="str">
        <f>IF(基本情報入力シート!L119="", "", 基本情報入力シート!L119)</f>
        <v/>
      </c>
      <c r="H97" s="304" t="str">
        <f>IF(基本情報入力シート!Q119="", "", 基本情報入力シート!Q119)</f>
        <v/>
      </c>
      <c r="I97" s="304" t="str">
        <f>IF(基本情報入力シート!V119="", "", 基本情報入力シート!V119)</f>
        <v/>
      </c>
      <c r="J97" s="304" t="str">
        <f>IF(基本情報入力シート!W119="", "", 基本情報入力シート!W119)</f>
        <v/>
      </c>
      <c r="K97" s="304" t="str">
        <f>IF(基本情報入力シート!Z119="", "", 基本情報入力シート!Z119)</f>
        <v/>
      </c>
      <c r="L97" s="558" t="str">
        <f>IF(基本情報入力シート!AF119=0, "",基本情報入力シート!AF119)</f>
        <v/>
      </c>
      <c r="M97" s="524" t="str">
        <f>IF('別紙様式2-2（個票（４、５月））'!M97="","",'別紙様式2-2（個票（４、５月））'!M97)</f>
        <v/>
      </c>
      <c r="N97" s="523" t="str">
        <f>IF('別紙様式2-2（個票（４、５月））'!N97="","",'別紙様式2-2（個票（４、５月））'!N97)</f>
        <v/>
      </c>
      <c r="O97" s="286"/>
      <c r="P97" s="555" t="str">
        <f>IFERROR(VLOOKUP(K97,【参考】数式用!$A$2:$M$57,MATCH(O97,【参考】数式用!$G$3:$M$3,0)+6,0),"")</f>
        <v/>
      </c>
      <c r="Q97" s="310" t="s">
        <v>118</v>
      </c>
      <c r="R97" s="308"/>
      <c r="S97" s="309" t="s">
        <v>183</v>
      </c>
      <c r="T97" s="308"/>
      <c r="U97" s="309" t="s">
        <v>184</v>
      </c>
      <c r="V97" s="308"/>
      <c r="W97" s="309" t="s">
        <v>183</v>
      </c>
      <c r="X97" s="308"/>
      <c r="Y97" s="309" t="s">
        <v>185</v>
      </c>
      <c r="Z97" s="309" t="s">
        <v>186</v>
      </c>
      <c r="AA97" s="309" t="str">
        <f t="shared" si="71"/>
        <v/>
      </c>
      <c r="AB97" s="305" t="s">
        <v>187</v>
      </c>
      <c r="AC97" s="306" t="str">
        <f t="shared" si="51"/>
        <v/>
      </c>
      <c r="AD97" s="515" t="str">
        <f t="shared" si="52"/>
        <v/>
      </c>
      <c r="AE97" s="307" t="str">
        <f>IFERROR(ROUNDDOWN(ROUNDDOWN(ROUND(L97*VLOOKUP(K97,【参考】数式用!$A$2:$M$57,MATCH("処遇改善加算Ⅳ",【参考】数式用!$G$3:$M$3,0)+6,0),0),0)*AA97*0.5,0), "")</f>
        <v/>
      </c>
      <c r="AF97" s="318"/>
      <c r="AG97" s="319"/>
      <c r="AH97" s="319"/>
      <c r="AI97" s="318"/>
      <c r="AJ97" s="320"/>
      <c r="AK97" s="326"/>
      <c r="AL97" s="324" t="str">
        <f t="shared" si="41"/>
        <v/>
      </c>
      <c r="AM97" s="325" t="str">
        <f t="shared" si="53"/>
        <v/>
      </c>
      <c r="AN97" s="255"/>
      <c r="AO97" s="557" t="str">
        <f>IFERROR(VLOOKUP(K97,【参考】数式用!$A$2:$N$57,14,FALSE),"")</f>
        <v/>
      </c>
      <c r="AP97" s="557" t="str">
        <f t="shared" si="54"/>
        <v/>
      </c>
      <c r="AQ97" s="561" t="str">
        <f t="shared" si="42"/>
        <v/>
      </c>
      <c r="AR97" s="561" t="str">
        <f t="shared" si="70"/>
        <v>キャリアパス要件Ⅰ・Ⅱ_</v>
      </c>
      <c r="AS97" s="540" t="str">
        <f t="shared" si="43"/>
        <v>入力済</v>
      </c>
      <c r="AT97" s="557" t="str">
        <f t="shared" si="55"/>
        <v/>
      </c>
      <c r="AU97" s="540" t="str">
        <f t="shared" si="44"/>
        <v>入力済</v>
      </c>
      <c r="AV97" s="540" t="str">
        <f t="shared" si="45"/>
        <v/>
      </c>
      <c r="AW97" s="576" t="str">
        <f t="shared" si="56"/>
        <v/>
      </c>
      <c r="AX97" s="557" t="str">
        <f t="shared" si="46"/>
        <v/>
      </c>
      <c r="AY97" s="540" t="str">
        <f>IFERROR(VLOOKUP(K97,【参考】数式用!$AR$3:$AS$49, 2, FALSE), "")</f>
        <v/>
      </c>
      <c r="AZ97" s="557" t="str">
        <f t="shared" si="57"/>
        <v/>
      </c>
      <c r="BA97" s="560" t="str">
        <f t="shared" si="47"/>
        <v>入力済</v>
      </c>
      <c r="BB97" s="540" t="str">
        <f>IFERROR(VLOOKUP(K97,【参考】数式用!$AX$3:$AY$59, 2, FALSE), "")</f>
        <v/>
      </c>
      <c r="BC97" s="557" t="str">
        <f t="shared" si="58"/>
        <v/>
      </c>
      <c r="BD97" s="560" t="str">
        <f t="shared" si="48"/>
        <v>入力済</v>
      </c>
      <c r="BE97" s="560" t="str">
        <f t="shared" si="59"/>
        <v/>
      </c>
      <c r="BF97" s="560" t="str">
        <f t="shared" si="60"/>
        <v/>
      </c>
      <c r="BG97" s="560" t="str">
        <f t="shared" si="61"/>
        <v/>
      </c>
      <c r="BH97" s="560" t="str">
        <f t="shared" si="49"/>
        <v/>
      </c>
      <c r="BI97" s="560" t="str">
        <f t="shared" si="50"/>
        <v/>
      </c>
      <c r="BK97" s="27"/>
      <c r="BL97" s="607" t="str">
        <f t="shared" si="62"/>
        <v/>
      </c>
      <c r="BM97" s="607" t="str">
        <f t="shared" si="63"/>
        <v/>
      </c>
      <c r="BN97" s="607" t="str">
        <f t="shared" si="64"/>
        <v/>
      </c>
      <c r="BO97" s="608" t="str">
        <f>IF(BM97="","",ROUNDDOWN(L97*VLOOKUP(K97,【参考】数式用!$A$4:$J$42,10,FALSE)*AA97,0))</f>
        <v/>
      </c>
      <c r="BP97" s="607" t="str">
        <f t="shared" si="65"/>
        <v/>
      </c>
      <c r="BQ97" s="607" t="str">
        <f t="shared" si="66"/>
        <v/>
      </c>
      <c r="BR97" s="609" t="str">
        <f t="shared" si="67"/>
        <v/>
      </c>
      <c r="BS97" s="609" t="str">
        <f t="shared" si="68"/>
        <v/>
      </c>
      <c r="BT97" s="607" t="str">
        <f t="shared" si="69"/>
        <v/>
      </c>
      <c r="BU97" s="608" t="str">
        <f>IF(BT97="Ⅱロ有り",ROUNDDOWN(L97*VLOOKUP(K97,【参考】数式用!$A$4:$J$42,10,FALSE)*AA97,0),"")</f>
        <v/>
      </c>
      <c r="BV97" s="607" t="str">
        <f>IF(BT97="Ⅱロなし",ROUNDDOWN(L97*VLOOKUP(K97,【参考】数式用!$A$4:$J$42,8,FALSE)*AA97,0),"")</f>
        <v/>
      </c>
    </row>
    <row r="98" spans="1:74" ht="109.9" customHeight="1" thickBot="1">
      <c r="A98" s="303">
        <v>85</v>
      </c>
      <c r="B98" s="956" t="str">
        <f>IF(基本情報入力シート!B120="","",基本情報入力シート!B120)</f>
        <v/>
      </c>
      <c r="C98" s="957"/>
      <c r="D98" s="957"/>
      <c r="E98" s="957"/>
      <c r="F98" s="958"/>
      <c r="G98" s="304" t="str">
        <f>IF(基本情報入力シート!L120="", "", 基本情報入力シート!L120)</f>
        <v/>
      </c>
      <c r="H98" s="304" t="str">
        <f>IF(基本情報入力シート!Q120="", "", 基本情報入力シート!Q120)</f>
        <v/>
      </c>
      <c r="I98" s="304" t="str">
        <f>IF(基本情報入力シート!V120="", "", 基本情報入力シート!V120)</f>
        <v/>
      </c>
      <c r="J98" s="304" t="str">
        <f>IF(基本情報入力シート!W120="", "", 基本情報入力シート!W120)</f>
        <v/>
      </c>
      <c r="K98" s="304" t="str">
        <f>IF(基本情報入力シート!Z120="", "", 基本情報入力シート!Z120)</f>
        <v/>
      </c>
      <c r="L98" s="558" t="str">
        <f>IF(基本情報入力シート!AF120=0, "",基本情報入力シート!AF120)</f>
        <v/>
      </c>
      <c r="M98" s="524" t="str">
        <f>IF('別紙様式2-2（個票（４、５月））'!M98="","",'別紙様式2-2（個票（４、５月））'!M98)</f>
        <v/>
      </c>
      <c r="N98" s="523" t="str">
        <f>IF('別紙様式2-2（個票（４、５月））'!N98="","",'別紙様式2-2（個票（４、５月））'!N98)</f>
        <v/>
      </c>
      <c r="O98" s="286"/>
      <c r="P98" s="555" t="str">
        <f>IFERROR(VLOOKUP(K98,【参考】数式用!$A$2:$M$57,MATCH(O98,【参考】数式用!$G$3:$M$3,0)+6,0),"")</f>
        <v/>
      </c>
      <c r="Q98" s="310" t="s">
        <v>118</v>
      </c>
      <c r="R98" s="308"/>
      <c r="S98" s="309" t="s">
        <v>183</v>
      </c>
      <c r="T98" s="308"/>
      <c r="U98" s="309" t="s">
        <v>184</v>
      </c>
      <c r="V98" s="308"/>
      <c r="W98" s="309" t="s">
        <v>183</v>
      </c>
      <c r="X98" s="308"/>
      <c r="Y98" s="309" t="s">
        <v>120</v>
      </c>
      <c r="Z98" s="309" t="s">
        <v>186</v>
      </c>
      <c r="AA98" s="309" t="str">
        <f t="shared" si="71"/>
        <v/>
      </c>
      <c r="AB98" s="305" t="s">
        <v>187</v>
      </c>
      <c r="AC98" s="306" t="str">
        <f t="shared" si="51"/>
        <v/>
      </c>
      <c r="AD98" s="515" t="str">
        <f t="shared" si="52"/>
        <v/>
      </c>
      <c r="AE98" s="307" t="str">
        <f>IFERROR(ROUNDDOWN(ROUNDDOWN(ROUND(L98*VLOOKUP(K98,【参考】数式用!$A$2:$M$57,MATCH("処遇改善加算Ⅳ",【参考】数式用!$G$3:$M$3,0)+6,0),0),0)*AA98*0.5,0), "")</f>
        <v/>
      </c>
      <c r="AF98" s="318"/>
      <c r="AG98" s="319"/>
      <c r="AH98" s="319"/>
      <c r="AI98" s="318"/>
      <c r="AJ98" s="320"/>
      <c r="AK98" s="326"/>
      <c r="AL98" s="324" t="str">
        <f t="shared" si="41"/>
        <v/>
      </c>
      <c r="AM98" s="325" t="str">
        <f t="shared" si="53"/>
        <v/>
      </c>
      <c r="AN98" s="255"/>
      <c r="AO98" s="557" t="str">
        <f>IFERROR(VLOOKUP(K98,【参考】数式用!$A$2:$N$57,14,FALSE),"")</f>
        <v/>
      </c>
      <c r="AP98" s="557" t="str">
        <f t="shared" si="54"/>
        <v/>
      </c>
      <c r="AQ98" s="561" t="str">
        <f t="shared" si="42"/>
        <v/>
      </c>
      <c r="AR98" s="561" t="str">
        <f t="shared" si="70"/>
        <v>キャリアパス要件Ⅰ・Ⅱ_</v>
      </c>
      <c r="AS98" s="540" t="str">
        <f t="shared" si="43"/>
        <v>入力済</v>
      </c>
      <c r="AT98" s="557" t="str">
        <f t="shared" si="55"/>
        <v/>
      </c>
      <c r="AU98" s="540" t="str">
        <f t="shared" si="44"/>
        <v>入力済</v>
      </c>
      <c r="AV98" s="540" t="str">
        <f t="shared" si="45"/>
        <v/>
      </c>
      <c r="AW98" s="576" t="str">
        <f t="shared" si="56"/>
        <v/>
      </c>
      <c r="AX98" s="557" t="str">
        <f t="shared" si="46"/>
        <v/>
      </c>
      <c r="AY98" s="540" t="str">
        <f>IFERROR(VLOOKUP(K98,【参考】数式用!$AR$3:$AS$49, 2, FALSE), "")</f>
        <v/>
      </c>
      <c r="AZ98" s="557" t="str">
        <f t="shared" si="57"/>
        <v/>
      </c>
      <c r="BA98" s="560" t="str">
        <f t="shared" si="47"/>
        <v>入力済</v>
      </c>
      <c r="BB98" s="540" t="str">
        <f>IFERROR(VLOOKUP(K98,【参考】数式用!$AX$3:$AY$59, 2, FALSE), "")</f>
        <v/>
      </c>
      <c r="BC98" s="557" t="str">
        <f t="shared" si="58"/>
        <v/>
      </c>
      <c r="BD98" s="560" t="str">
        <f t="shared" si="48"/>
        <v>入力済</v>
      </c>
      <c r="BE98" s="560" t="str">
        <f t="shared" si="59"/>
        <v/>
      </c>
      <c r="BF98" s="560" t="str">
        <f t="shared" si="60"/>
        <v/>
      </c>
      <c r="BG98" s="560" t="str">
        <f t="shared" si="61"/>
        <v/>
      </c>
      <c r="BH98" s="560" t="str">
        <f t="shared" si="49"/>
        <v/>
      </c>
      <c r="BI98" s="560" t="str">
        <f t="shared" si="50"/>
        <v/>
      </c>
      <c r="BK98" s="27"/>
      <c r="BL98" s="607" t="str">
        <f t="shared" si="62"/>
        <v/>
      </c>
      <c r="BM98" s="607" t="str">
        <f t="shared" si="63"/>
        <v/>
      </c>
      <c r="BN98" s="607" t="str">
        <f t="shared" si="64"/>
        <v/>
      </c>
      <c r="BO98" s="608" t="str">
        <f>IF(BM98="","",ROUNDDOWN(L98*VLOOKUP(K98,【参考】数式用!$A$4:$J$42,10,FALSE)*AA98,0))</f>
        <v/>
      </c>
      <c r="BP98" s="607" t="str">
        <f t="shared" si="65"/>
        <v/>
      </c>
      <c r="BQ98" s="607" t="str">
        <f t="shared" si="66"/>
        <v/>
      </c>
      <c r="BR98" s="609" t="str">
        <f t="shared" si="67"/>
        <v/>
      </c>
      <c r="BS98" s="609" t="str">
        <f t="shared" si="68"/>
        <v/>
      </c>
      <c r="BT98" s="607" t="str">
        <f t="shared" si="69"/>
        <v/>
      </c>
      <c r="BU98" s="608" t="str">
        <f>IF(BT98="Ⅱロ有り",ROUNDDOWN(L98*VLOOKUP(K98,【参考】数式用!$A$4:$J$42,10,FALSE)*AA98,0),"")</f>
        <v/>
      </c>
      <c r="BV98" s="607" t="str">
        <f>IF(BT98="Ⅱロなし",ROUNDDOWN(L98*VLOOKUP(K98,【参考】数式用!$A$4:$J$42,8,FALSE)*AA98,0),"")</f>
        <v/>
      </c>
    </row>
    <row r="99" spans="1:74" ht="109.9" customHeight="1" thickBot="1">
      <c r="A99" s="303">
        <v>86</v>
      </c>
      <c r="B99" s="956" t="str">
        <f>IF(基本情報入力シート!B121="","",基本情報入力シート!B121)</f>
        <v/>
      </c>
      <c r="C99" s="957"/>
      <c r="D99" s="957"/>
      <c r="E99" s="957"/>
      <c r="F99" s="958"/>
      <c r="G99" s="304" t="str">
        <f>IF(基本情報入力シート!L121="", "", 基本情報入力シート!L121)</f>
        <v/>
      </c>
      <c r="H99" s="304" t="str">
        <f>IF(基本情報入力シート!Q121="", "", 基本情報入力シート!Q121)</f>
        <v/>
      </c>
      <c r="I99" s="304" t="str">
        <f>IF(基本情報入力シート!V121="", "", 基本情報入力シート!V121)</f>
        <v/>
      </c>
      <c r="J99" s="304" t="str">
        <f>IF(基本情報入力シート!W121="", "", 基本情報入力シート!W121)</f>
        <v/>
      </c>
      <c r="K99" s="304" t="str">
        <f>IF(基本情報入力シート!Z121="", "", 基本情報入力シート!Z121)</f>
        <v/>
      </c>
      <c r="L99" s="558" t="str">
        <f>IF(基本情報入力シート!AF121=0, "",基本情報入力シート!AF121)</f>
        <v/>
      </c>
      <c r="M99" s="524" t="str">
        <f>IF('別紙様式2-2（個票（４、５月））'!M99="","",'別紙様式2-2（個票（４、５月））'!M99)</f>
        <v/>
      </c>
      <c r="N99" s="523" t="str">
        <f>IF('別紙様式2-2（個票（４、５月））'!N99="","",'別紙様式2-2（個票（４、５月））'!N99)</f>
        <v/>
      </c>
      <c r="O99" s="286"/>
      <c r="P99" s="555" t="str">
        <f>IFERROR(VLOOKUP(K99,【参考】数式用!$A$2:$M$57,MATCH(O99,【参考】数式用!$G$3:$M$3,0)+6,0),"")</f>
        <v/>
      </c>
      <c r="Q99" s="310" t="s">
        <v>118</v>
      </c>
      <c r="R99" s="308"/>
      <c r="S99" s="309" t="s">
        <v>183</v>
      </c>
      <c r="T99" s="308"/>
      <c r="U99" s="309" t="s">
        <v>184</v>
      </c>
      <c r="V99" s="308"/>
      <c r="W99" s="309" t="s">
        <v>183</v>
      </c>
      <c r="X99" s="308"/>
      <c r="Y99" s="309" t="s">
        <v>120</v>
      </c>
      <c r="Z99" s="309" t="s">
        <v>186</v>
      </c>
      <c r="AA99" s="309" t="str">
        <f t="shared" si="71"/>
        <v/>
      </c>
      <c r="AB99" s="305" t="s">
        <v>187</v>
      </c>
      <c r="AC99" s="306" t="str">
        <f t="shared" si="51"/>
        <v/>
      </c>
      <c r="AD99" s="515" t="str">
        <f t="shared" si="52"/>
        <v/>
      </c>
      <c r="AE99" s="307" t="str">
        <f>IFERROR(ROUNDDOWN(ROUNDDOWN(ROUND(L99*VLOOKUP(K99,【参考】数式用!$A$2:$M$57,MATCH("処遇改善加算Ⅳ",【参考】数式用!$G$3:$M$3,0)+6,0),0),0)*AA99*0.5,0), "")</f>
        <v/>
      </c>
      <c r="AF99" s="318"/>
      <c r="AG99" s="319"/>
      <c r="AH99" s="319"/>
      <c r="AI99" s="318"/>
      <c r="AJ99" s="320"/>
      <c r="AK99" s="326"/>
      <c r="AL99" s="324" t="str">
        <f t="shared" si="41"/>
        <v/>
      </c>
      <c r="AM99" s="325" t="str">
        <f t="shared" si="53"/>
        <v/>
      </c>
      <c r="AN99" s="255"/>
      <c r="AO99" s="557" t="str">
        <f>IFERROR(VLOOKUP(K99,【参考】数式用!$A$2:$N$57,14,FALSE),"")</f>
        <v/>
      </c>
      <c r="AP99" s="557" t="str">
        <f t="shared" si="54"/>
        <v/>
      </c>
      <c r="AQ99" s="561" t="str">
        <f t="shared" si="42"/>
        <v/>
      </c>
      <c r="AR99" s="561" t="str">
        <f t="shared" si="70"/>
        <v>キャリアパス要件Ⅰ・Ⅱ_</v>
      </c>
      <c r="AS99" s="540" t="str">
        <f t="shared" si="43"/>
        <v>入力済</v>
      </c>
      <c r="AT99" s="557" t="str">
        <f t="shared" si="55"/>
        <v/>
      </c>
      <c r="AU99" s="540" t="str">
        <f t="shared" si="44"/>
        <v>入力済</v>
      </c>
      <c r="AV99" s="540" t="str">
        <f t="shared" si="45"/>
        <v/>
      </c>
      <c r="AW99" s="576" t="str">
        <f t="shared" si="56"/>
        <v/>
      </c>
      <c r="AX99" s="557" t="str">
        <f t="shared" si="46"/>
        <v/>
      </c>
      <c r="AY99" s="540" t="str">
        <f>IFERROR(VLOOKUP(K99,【参考】数式用!$AR$3:$AS$49, 2, FALSE), "")</f>
        <v/>
      </c>
      <c r="AZ99" s="557" t="str">
        <f t="shared" si="57"/>
        <v/>
      </c>
      <c r="BA99" s="560" t="str">
        <f t="shared" si="47"/>
        <v>入力済</v>
      </c>
      <c r="BB99" s="540" t="str">
        <f>IFERROR(VLOOKUP(K99,【参考】数式用!$AX$3:$AY$59, 2, FALSE), "")</f>
        <v/>
      </c>
      <c r="BC99" s="557" t="str">
        <f t="shared" si="58"/>
        <v/>
      </c>
      <c r="BD99" s="560" t="str">
        <f t="shared" si="48"/>
        <v>入力済</v>
      </c>
      <c r="BE99" s="560" t="str">
        <f t="shared" si="59"/>
        <v/>
      </c>
      <c r="BF99" s="560" t="str">
        <f t="shared" si="60"/>
        <v/>
      </c>
      <c r="BG99" s="560" t="str">
        <f t="shared" si="61"/>
        <v/>
      </c>
      <c r="BH99" s="560" t="str">
        <f t="shared" si="49"/>
        <v/>
      </c>
      <c r="BI99" s="560" t="str">
        <f t="shared" si="50"/>
        <v/>
      </c>
      <c r="BK99" s="27"/>
      <c r="BL99" s="607" t="str">
        <f t="shared" si="62"/>
        <v/>
      </c>
      <c r="BM99" s="607" t="str">
        <f t="shared" si="63"/>
        <v/>
      </c>
      <c r="BN99" s="607" t="str">
        <f t="shared" si="64"/>
        <v/>
      </c>
      <c r="BO99" s="608" t="str">
        <f>IF(BM99="","",ROUNDDOWN(L99*VLOOKUP(K99,【参考】数式用!$A$4:$J$42,10,FALSE)*AA99,0))</f>
        <v/>
      </c>
      <c r="BP99" s="607" t="str">
        <f t="shared" si="65"/>
        <v/>
      </c>
      <c r="BQ99" s="607" t="str">
        <f t="shared" si="66"/>
        <v/>
      </c>
      <c r="BR99" s="609" t="str">
        <f t="shared" si="67"/>
        <v/>
      </c>
      <c r="BS99" s="609" t="str">
        <f t="shared" si="68"/>
        <v/>
      </c>
      <c r="BT99" s="607" t="str">
        <f t="shared" si="69"/>
        <v/>
      </c>
      <c r="BU99" s="608" t="str">
        <f>IF(BT99="Ⅱロ有り",ROUNDDOWN(L99*VLOOKUP(K99,【参考】数式用!$A$4:$J$42,10,FALSE)*AA99,0),"")</f>
        <v/>
      </c>
      <c r="BV99" s="607" t="str">
        <f>IF(BT99="Ⅱロなし",ROUNDDOWN(L99*VLOOKUP(K99,【参考】数式用!$A$4:$J$42,8,FALSE)*AA99,0),"")</f>
        <v/>
      </c>
    </row>
    <row r="100" spans="1:74" ht="109.9" customHeight="1" thickBot="1">
      <c r="A100" s="303">
        <v>87</v>
      </c>
      <c r="B100" s="956" t="str">
        <f>IF(基本情報入力シート!B122="","",基本情報入力シート!B122)</f>
        <v/>
      </c>
      <c r="C100" s="957"/>
      <c r="D100" s="957"/>
      <c r="E100" s="957"/>
      <c r="F100" s="958"/>
      <c r="G100" s="304" t="str">
        <f>IF(基本情報入力シート!L122="", "", 基本情報入力シート!L122)</f>
        <v/>
      </c>
      <c r="H100" s="304" t="str">
        <f>IF(基本情報入力シート!Q122="", "", 基本情報入力シート!Q122)</f>
        <v/>
      </c>
      <c r="I100" s="304" t="str">
        <f>IF(基本情報入力シート!V122="", "", 基本情報入力シート!V122)</f>
        <v/>
      </c>
      <c r="J100" s="304" t="str">
        <f>IF(基本情報入力シート!W122="", "", 基本情報入力シート!W122)</f>
        <v/>
      </c>
      <c r="K100" s="304" t="str">
        <f>IF(基本情報入力シート!Z122="", "", 基本情報入力シート!Z122)</f>
        <v/>
      </c>
      <c r="L100" s="558" t="str">
        <f>IF(基本情報入力シート!AF122=0, "",基本情報入力シート!AF122)</f>
        <v/>
      </c>
      <c r="M100" s="524" t="str">
        <f>IF('別紙様式2-2（個票（４、５月））'!M100="","",'別紙様式2-2（個票（４、５月））'!M100)</f>
        <v/>
      </c>
      <c r="N100" s="523" t="str">
        <f>IF('別紙様式2-2（個票（４、５月））'!N100="","",'別紙様式2-2（個票（４、５月））'!N100)</f>
        <v/>
      </c>
      <c r="O100" s="286"/>
      <c r="P100" s="555" t="str">
        <f>IFERROR(VLOOKUP(K100,【参考】数式用!$A$2:$M$57,MATCH(O100,【参考】数式用!$G$3:$M$3,0)+6,0),"")</f>
        <v/>
      </c>
      <c r="Q100" s="310" t="s">
        <v>118</v>
      </c>
      <c r="R100" s="308"/>
      <c r="S100" s="309" t="s">
        <v>183</v>
      </c>
      <c r="T100" s="308"/>
      <c r="U100" s="309" t="s">
        <v>184</v>
      </c>
      <c r="V100" s="308"/>
      <c r="W100" s="309" t="s">
        <v>183</v>
      </c>
      <c r="X100" s="308"/>
      <c r="Y100" s="309" t="s">
        <v>185</v>
      </c>
      <c r="Z100" s="309" t="s">
        <v>186</v>
      </c>
      <c r="AA100" s="309" t="str">
        <f t="shared" si="71"/>
        <v/>
      </c>
      <c r="AB100" s="305" t="s">
        <v>187</v>
      </c>
      <c r="AC100" s="306" t="str">
        <f t="shared" si="51"/>
        <v/>
      </c>
      <c r="AD100" s="515" t="str">
        <f t="shared" si="52"/>
        <v/>
      </c>
      <c r="AE100" s="307" t="str">
        <f>IFERROR(ROUNDDOWN(ROUNDDOWN(ROUND(L100*VLOOKUP(K100,【参考】数式用!$A$2:$M$57,MATCH("処遇改善加算Ⅳ",【参考】数式用!$G$3:$M$3,0)+6,0),0),0)*AA100*0.5,0), "")</f>
        <v/>
      </c>
      <c r="AF100" s="318"/>
      <c r="AG100" s="319"/>
      <c r="AH100" s="319"/>
      <c r="AI100" s="318"/>
      <c r="AJ100" s="320"/>
      <c r="AK100" s="326"/>
      <c r="AL100" s="324" t="str">
        <f t="shared" si="41"/>
        <v/>
      </c>
      <c r="AM100" s="325" t="str">
        <f t="shared" si="53"/>
        <v/>
      </c>
      <c r="AN100" s="255"/>
      <c r="AO100" s="557" t="str">
        <f>IFERROR(VLOOKUP(K100,【参考】数式用!$A$2:$N$57,14,FALSE),"")</f>
        <v/>
      </c>
      <c r="AP100" s="557" t="str">
        <f t="shared" si="54"/>
        <v/>
      </c>
      <c r="AQ100" s="561" t="str">
        <f t="shared" si="42"/>
        <v/>
      </c>
      <c r="AR100" s="561" t="str">
        <f t="shared" si="70"/>
        <v>キャリアパス要件Ⅰ・Ⅱ_</v>
      </c>
      <c r="AS100" s="540" t="str">
        <f t="shared" si="43"/>
        <v>入力済</v>
      </c>
      <c r="AT100" s="557" t="str">
        <f t="shared" si="55"/>
        <v/>
      </c>
      <c r="AU100" s="540" t="str">
        <f t="shared" si="44"/>
        <v>入力済</v>
      </c>
      <c r="AV100" s="540" t="str">
        <f t="shared" si="45"/>
        <v/>
      </c>
      <c r="AW100" s="576" t="str">
        <f t="shared" si="56"/>
        <v/>
      </c>
      <c r="AX100" s="557" t="str">
        <f t="shared" si="46"/>
        <v/>
      </c>
      <c r="AY100" s="540" t="str">
        <f>IFERROR(VLOOKUP(K100,【参考】数式用!$AR$3:$AS$49, 2, FALSE), "")</f>
        <v/>
      </c>
      <c r="AZ100" s="557" t="str">
        <f t="shared" si="57"/>
        <v/>
      </c>
      <c r="BA100" s="560" t="str">
        <f t="shared" si="47"/>
        <v>入力済</v>
      </c>
      <c r="BB100" s="540" t="str">
        <f>IFERROR(VLOOKUP(K100,【参考】数式用!$AX$3:$AY$59, 2, FALSE), "")</f>
        <v/>
      </c>
      <c r="BC100" s="557" t="str">
        <f t="shared" si="58"/>
        <v/>
      </c>
      <c r="BD100" s="560" t="str">
        <f t="shared" si="48"/>
        <v>入力済</v>
      </c>
      <c r="BE100" s="560" t="str">
        <f t="shared" si="59"/>
        <v/>
      </c>
      <c r="BF100" s="560" t="str">
        <f t="shared" si="60"/>
        <v/>
      </c>
      <c r="BG100" s="560" t="str">
        <f t="shared" si="61"/>
        <v/>
      </c>
      <c r="BH100" s="560" t="str">
        <f t="shared" si="49"/>
        <v/>
      </c>
      <c r="BI100" s="560" t="str">
        <f t="shared" si="50"/>
        <v/>
      </c>
      <c r="BK100" s="27"/>
      <c r="BL100" s="607" t="str">
        <f t="shared" si="62"/>
        <v/>
      </c>
      <c r="BM100" s="607" t="str">
        <f t="shared" si="63"/>
        <v/>
      </c>
      <c r="BN100" s="607" t="str">
        <f t="shared" si="64"/>
        <v/>
      </c>
      <c r="BO100" s="608" t="str">
        <f>IF(BM100="","",ROUNDDOWN(L100*VLOOKUP(K100,【参考】数式用!$A$4:$J$42,10,FALSE)*AA100,0))</f>
        <v/>
      </c>
      <c r="BP100" s="607" t="str">
        <f t="shared" si="65"/>
        <v/>
      </c>
      <c r="BQ100" s="607" t="str">
        <f t="shared" si="66"/>
        <v/>
      </c>
      <c r="BR100" s="609" t="str">
        <f t="shared" si="67"/>
        <v/>
      </c>
      <c r="BS100" s="609" t="str">
        <f t="shared" si="68"/>
        <v/>
      </c>
      <c r="BT100" s="607" t="str">
        <f t="shared" si="69"/>
        <v/>
      </c>
      <c r="BU100" s="608" t="str">
        <f>IF(BT100="Ⅱロ有り",ROUNDDOWN(L100*VLOOKUP(K100,【参考】数式用!$A$4:$J$42,10,FALSE)*AA100,0),"")</f>
        <v/>
      </c>
      <c r="BV100" s="607" t="str">
        <f>IF(BT100="Ⅱロなし",ROUNDDOWN(L100*VLOOKUP(K100,【参考】数式用!$A$4:$J$42,8,FALSE)*AA100,0),"")</f>
        <v/>
      </c>
    </row>
    <row r="101" spans="1:74" ht="109.9" customHeight="1" thickBot="1">
      <c r="A101" s="303">
        <v>88</v>
      </c>
      <c r="B101" s="956" t="str">
        <f>IF(基本情報入力シート!B123="","",基本情報入力シート!B123)</f>
        <v/>
      </c>
      <c r="C101" s="957"/>
      <c r="D101" s="957"/>
      <c r="E101" s="957"/>
      <c r="F101" s="958"/>
      <c r="G101" s="304" t="str">
        <f>IF(基本情報入力シート!L123="", "", 基本情報入力シート!L123)</f>
        <v/>
      </c>
      <c r="H101" s="304" t="str">
        <f>IF(基本情報入力シート!Q123="", "", 基本情報入力シート!Q123)</f>
        <v/>
      </c>
      <c r="I101" s="304" t="str">
        <f>IF(基本情報入力シート!V123="", "", 基本情報入力シート!V123)</f>
        <v/>
      </c>
      <c r="J101" s="304" t="str">
        <f>IF(基本情報入力シート!W123="", "", 基本情報入力シート!W123)</f>
        <v/>
      </c>
      <c r="K101" s="304" t="str">
        <f>IF(基本情報入力シート!Z123="", "", 基本情報入力シート!Z123)</f>
        <v/>
      </c>
      <c r="L101" s="558" t="str">
        <f>IF(基本情報入力シート!AF123=0, "",基本情報入力シート!AF123)</f>
        <v/>
      </c>
      <c r="M101" s="524" t="str">
        <f>IF('別紙様式2-2（個票（４、５月））'!M101="","",'別紙様式2-2（個票（４、５月））'!M101)</f>
        <v/>
      </c>
      <c r="N101" s="523" t="str">
        <f>IF('別紙様式2-2（個票（４、５月））'!N101="","",'別紙様式2-2（個票（４、５月））'!N101)</f>
        <v/>
      </c>
      <c r="O101" s="286"/>
      <c r="P101" s="555" t="str">
        <f>IFERROR(VLOOKUP(K101,【参考】数式用!$A$2:$M$57,MATCH(O101,【参考】数式用!$G$3:$M$3,0)+6,0),"")</f>
        <v/>
      </c>
      <c r="Q101" s="310" t="s">
        <v>118</v>
      </c>
      <c r="R101" s="308"/>
      <c r="S101" s="309" t="s">
        <v>183</v>
      </c>
      <c r="T101" s="308"/>
      <c r="U101" s="309" t="s">
        <v>184</v>
      </c>
      <c r="V101" s="308"/>
      <c r="W101" s="309" t="s">
        <v>183</v>
      </c>
      <c r="X101" s="308"/>
      <c r="Y101" s="309" t="s">
        <v>185</v>
      </c>
      <c r="Z101" s="309" t="s">
        <v>186</v>
      </c>
      <c r="AA101" s="309" t="str">
        <f t="shared" si="71"/>
        <v/>
      </c>
      <c r="AB101" s="305" t="s">
        <v>187</v>
      </c>
      <c r="AC101" s="306" t="str">
        <f t="shared" si="51"/>
        <v/>
      </c>
      <c r="AD101" s="515" t="str">
        <f t="shared" si="52"/>
        <v/>
      </c>
      <c r="AE101" s="307" t="str">
        <f>IFERROR(ROUNDDOWN(ROUNDDOWN(ROUND(L101*VLOOKUP(K101,【参考】数式用!$A$2:$M$57,MATCH("処遇改善加算Ⅳ",【参考】数式用!$G$3:$M$3,0)+6,0),0),0)*AA101*0.5,0), "")</f>
        <v/>
      </c>
      <c r="AF101" s="318"/>
      <c r="AG101" s="319"/>
      <c r="AH101" s="319"/>
      <c r="AI101" s="318"/>
      <c r="AJ101" s="320"/>
      <c r="AK101" s="326"/>
      <c r="AL101" s="324" t="str">
        <f t="shared" si="41"/>
        <v/>
      </c>
      <c r="AM101" s="325" t="str">
        <f t="shared" si="53"/>
        <v/>
      </c>
      <c r="AN101" s="255"/>
      <c r="AO101" s="557" t="str">
        <f>IFERROR(VLOOKUP(K101,【参考】数式用!$A$2:$N$57,14,FALSE),"")</f>
        <v/>
      </c>
      <c r="AP101" s="557" t="str">
        <f t="shared" si="54"/>
        <v/>
      </c>
      <c r="AQ101" s="561" t="str">
        <f t="shared" si="42"/>
        <v/>
      </c>
      <c r="AR101" s="561" t="str">
        <f t="shared" si="70"/>
        <v>キャリアパス要件Ⅰ・Ⅱ_</v>
      </c>
      <c r="AS101" s="540" t="str">
        <f t="shared" si="43"/>
        <v>入力済</v>
      </c>
      <c r="AT101" s="557" t="str">
        <f t="shared" si="55"/>
        <v/>
      </c>
      <c r="AU101" s="540" t="str">
        <f t="shared" si="44"/>
        <v>入力済</v>
      </c>
      <c r="AV101" s="540" t="str">
        <f t="shared" si="45"/>
        <v/>
      </c>
      <c r="AW101" s="576" t="str">
        <f t="shared" si="56"/>
        <v/>
      </c>
      <c r="AX101" s="557" t="str">
        <f t="shared" si="46"/>
        <v/>
      </c>
      <c r="AY101" s="540" t="str">
        <f>IFERROR(VLOOKUP(K101,【参考】数式用!$AR$3:$AS$49, 2, FALSE), "")</f>
        <v/>
      </c>
      <c r="AZ101" s="557" t="str">
        <f t="shared" si="57"/>
        <v/>
      </c>
      <c r="BA101" s="560" t="str">
        <f t="shared" si="47"/>
        <v>入力済</v>
      </c>
      <c r="BB101" s="540" t="str">
        <f>IFERROR(VLOOKUP(K101,【参考】数式用!$AX$3:$AY$59, 2, FALSE), "")</f>
        <v/>
      </c>
      <c r="BC101" s="557" t="str">
        <f t="shared" si="58"/>
        <v/>
      </c>
      <c r="BD101" s="560" t="str">
        <f t="shared" si="48"/>
        <v>入力済</v>
      </c>
      <c r="BE101" s="560" t="str">
        <f t="shared" si="59"/>
        <v/>
      </c>
      <c r="BF101" s="560" t="str">
        <f t="shared" si="60"/>
        <v/>
      </c>
      <c r="BG101" s="560" t="str">
        <f t="shared" si="61"/>
        <v/>
      </c>
      <c r="BH101" s="560" t="str">
        <f t="shared" si="49"/>
        <v/>
      </c>
      <c r="BI101" s="560" t="str">
        <f t="shared" si="50"/>
        <v/>
      </c>
      <c r="BK101" s="27"/>
      <c r="BL101" s="607" t="str">
        <f t="shared" si="62"/>
        <v/>
      </c>
      <c r="BM101" s="607" t="str">
        <f t="shared" si="63"/>
        <v/>
      </c>
      <c r="BN101" s="607" t="str">
        <f t="shared" si="64"/>
        <v/>
      </c>
      <c r="BO101" s="608" t="str">
        <f>IF(BM101="","",ROUNDDOWN(L101*VLOOKUP(K101,【参考】数式用!$A$4:$J$42,10,FALSE)*AA101,0))</f>
        <v/>
      </c>
      <c r="BP101" s="607" t="str">
        <f t="shared" si="65"/>
        <v/>
      </c>
      <c r="BQ101" s="607" t="str">
        <f t="shared" si="66"/>
        <v/>
      </c>
      <c r="BR101" s="609" t="str">
        <f t="shared" si="67"/>
        <v/>
      </c>
      <c r="BS101" s="609" t="str">
        <f t="shared" si="68"/>
        <v/>
      </c>
      <c r="BT101" s="607" t="str">
        <f t="shared" si="69"/>
        <v/>
      </c>
      <c r="BU101" s="608" t="str">
        <f>IF(BT101="Ⅱロ有り",ROUNDDOWN(L101*VLOOKUP(K101,【参考】数式用!$A$4:$J$42,10,FALSE)*AA101,0),"")</f>
        <v/>
      </c>
      <c r="BV101" s="607" t="str">
        <f>IF(BT101="Ⅱロなし",ROUNDDOWN(L101*VLOOKUP(K101,【参考】数式用!$A$4:$J$42,8,FALSE)*AA101,0),"")</f>
        <v/>
      </c>
    </row>
    <row r="102" spans="1:74" ht="109.9" customHeight="1" thickBot="1">
      <c r="A102" s="303">
        <v>89</v>
      </c>
      <c r="B102" s="956" t="str">
        <f>IF(基本情報入力シート!B124="","",基本情報入力シート!B124)</f>
        <v/>
      </c>
      <c r="C102" s="957"/>
      <c r="D102" s="957"/>
      <c r="E102" s="957"/>
      <c r="F102" s="958"/>
      <c r="G102" s="304" t="str">
        <f>IF(基本情報入力シート!L124="", "", 基本情報入力シート!L124)</f>
        <v/>
      </c>
      <c r="H102" s="304" t="str">
        <f>IF(基本情報入力シート!Q124="", "", 基本情報入力シート!Q124)</f>
        <v/>
      </c>
      <c r="I102" s="304" t="str">
        <f>IF(基本情報入力シート!V124="", "", 基本情報入力シート!V124)</f>
        <v/>
      </c>
      <c r="J102" s="304" t="str">
        <f>IF(基本情報入力シート!W124="", "", 基本情報入力シート!W124)</f>
        <v/>
      </c>
      <c r="K102" s="304" t="str">
        <f>IF(基本情報入力シート!Z124="", "", 基本情報入力シート!Z124)</f>
        <v/>
      </c>
      <c r="L102" s="558" t="str">
        <f>IF(基本情報入力シート!AF124=0, "",基本情報入力シート!AF124)</f>
        <v/>
      </c>
      <c r="M102" s="524" t="str">
        <f>IF('別紙様式2-2（個票（４、５月））'!M102="","",'別紙様式2-2（個票（４、５月））'!M102)</f>
        <v/>
      </c>
      <c r="N102" s="523" t="str">
        <f>IF('別紙様式2-2（個票（４、５月））'!N102="","",'別紙様式2-2（個票（４、５月））'!N102)</f>
        <v/>
      </c>
      <c r="O102" s="286"/>
      <c r="P102" s="555" t="str">
        <f>IFERROR(VLOOKUP(K102,【参考】数式用!$A$2:$M$57,MATCH(O102,【参考】数式用!$G$3:$M$3,0)+6,0),"")</f>
        <v/>
      </c>
      <c r="Q102" s="310" t="s">
        <v>118</v>
      </c>
      <c r="R102" s="308"/>
      <c r="S102" s="309" t="s">
        <v>183</v>
      </c>
      <c r="T102" s="308"/>
      <c r="U102" s="309" t="s">
        <v>184</v>
      </c>
      <c r="V102" s="308"/>
      <c r="W102" s="309" t="s">
        <v>183</v>
      </c>
      <c r="X102" s="308"/>
      <c r="Y102" s="309" t="s">
        <v>185</v>
      </c>
      <c r="Z102" s="309" t="s">
        <v>186</v>
      </c>
      <c r="AA102" s="309" t="str">
        <f t="shared" si="71"/>
        <v/>
      </c>
      <c r="AB102" s="305" t="s">
        <v>187</v>
      </c>
      <c r="AC102" s="306" t="str">
        <f t="shared" si="51"/>
        <v/>
      </c>
      <c r="AD102" s="515" t="str">
        <f t="shared" si="52"/>
        <v/>
      </c>
      <c r="AE102" s="307" t="str">
        <f>IFERROR(ROUNDDOWN(ROUNDDOWN(ROUND(L102*VLOOKUP(K102,【参考】数式用!$A$2:$M$57,MATCH("処遇改善加算Ⅳ",【参考】数式用!$G$3:$M$3,0)+6,0),0),0)*AA102*0.5,0), "")</f>
        <v/>
      </c>
      <c r="AF102" s="318"/>
      <c r="AG102" s="319"/>
      <c r="AH102" s="319"/>
      <c r="AI102" s="318"/>
      <c r="AJ102" s="320"/>
      <c r="AK102" s="326"/>
      <c r="AL102" s="324" t="str">
        <f t="shared" si="41"/>
        <v/>
      </c>
      <c r="AM102" s="325" t="str">
        <f t="shared" si="53"/>
        <v/>
      </c>
      <c r="AN102" s="255"/>
      <c r="AO102" s="557" t="str">
        <f>IFERROR(VLOOKUP(K102,【参考】数式用!$A$2:$N$57,14,FALSE),"")</f>
        <v/>
      </c>
      <c r="AP102" s="557" t="str">
        <f t="shared" si="54"/>
        <v/>
      </c>
      <c r="AQ102" s="561" t="str">
        <f t="shared" si="42"/>
        <v/>
      </c>
      <c r="AR102" s="561" t="str">
        <f t="shared" si="70"/>
        <v>キャリアパス要件Ⅰ・Ⅱ_</v>
      </c>
      <c r="AS102" s="540" t="str">
        <f t="shared" si="43"/>
        <v>入力済</v>
      </c>
      <c r="AT102" s="557" t="str">
        <f t="shared" si="55"/>
        <v/>
      </c>
      <c r="AU102" s="540" t="str">
        <f t="shared" si="44"/>
        <v>入力済</v>
      </c>
      <c r="AV102" s="540" t="str">
        <f t="shared" si="45"/>
        <v/>
      </c>
      <c r="AW102" s="576" t="str">
        <f t="shared" si="56"/>
        <v/>
      </c>
      <c r="AX102" s="557" t="str">
        <f t="shared" si="46"/>
        <v/>
      </c>
      <c r="AY102" s="540" t="str">
        <f>IFERROR(VLOOKUP(K102,【参考】数式用!$AR$3:$AS$49, 2, FALSE), "")</f>
        <v/>
      </c>
      <c r="AZ102" s="557" t="str">
        <f t="shared" si="57"/>
        <v/>
      </c>
      <c r="BA102" s="560" t="str">
        <f t="shared" si="47"/>
        <v>入力済</v>
      </c>
      <c r="BB102" s="540" t="str">
        <f>IFERROR(VLOOKUP(K102,【参考】数式用!$AX$3:$AY$59, 2, FALSE), "")</f>
        <v/>
      </c>
      <c r="BC102" s="557" t="str">
        <f t="shared" si="58"/>
        <v/>
      </c>
      <c r="BD102" s="560" t="str">
        <f t="shared" si="48"/>
        <v>入力済</v>
      </c>
      <c r="BE102" s="560" t="str">
        <f t="shared" si="59"/>
        <v/>
      </c>
      <c r="BF102" s="560" t="str">
        <f t="shared" si="60"/>
        <v/>
      </c>
      <c r="BG102" s="560" t="str">
        <f t="shared" si="61"/>
        <v/>
      </c>
      <c r="BH102" s="560" t="str">
        <f t="shared" si="49"/>
        <v/>
      </c>
      <c r="BI102" s="560" t="str">
        <f t="shared" si="50"/>
        <v/>
      </c>
      <c r="BK102" s="27"/>
      <c r="BL102" s="607" t="str">
        <f t="shared" si="62"/>
        <v/>
      </c>
      <c r="BM102" s="607" t="str">
        <f t="shared" si="63"/>
        <v/>
      </c>
      <c r="BN102" s="607" t="str">
        <f t="shared" si="64"/>
        <v/>
      </c>
      <c r="BO102" s="608" t="str">
        <f>IF(BM102="","",ROUNDDOWN(L102*VLOOKUP(K102,【参考】数式用!$A$4:$J$42,10,FALSE)*AA102,0))</f>
        <v/>
      </c>
      <c r="BP102" s="607" t="str">
        <f t="shared" si="65"/>
        <v/>
      </c>
      <c r="BQ102" s="607" t="str">
        <f t="shared" si="66"/>
        <v/>
      </c>
      <c r="BR102" s="609" t="str">
        <f t="shared" si="67"/>
        <v/>
      </c>
      <c r="BS102" s="609" t="str">
        <f t="shared" si="68"/>
        <v/>
      </c>
      <c r="BT102" s="607" t="str">
        <f t="shared" si="69"/>
        <v/>
      </c>
      <c r="BU102" s="608" t="str">
        <f>IF(BT102="Ⅱロ有り",ROUNDDOWN(L102*VLOOKUP(K102,【参考】数式用!$A$4:$J$42,10,FALSE)*AA102,0),"")</f>
        <v/>
      </c>
      <c r="BV102" s="607" t="str">
        <f>IF(BT102="Ⅱロなし",ROUNDDOWN(L102*VLOOKUP(K102,【参考】数式用!$A$4:$J$42,8,FALSE)*AA102,0),"")</f>
        <v/>
      </c>
    </row>
    <row r="103" spans="1:74" ht="109.9" customHeight="1" thickBot="1">
      <c r="A103" s="303">
        <v>90</v>
      </c>
      <c r="B103" s="956" t="str">
        <f>IF(基本情報入力シート!B125="","",基本情報入力シート!B125)</f>
        <v/>
      </c>
      <c r="C103" s="957"/>
      <c r="D103" s="957"/>
      <c r="E103" s="957"/>
      <c r="F103" s="958"/>
      <c r="G103" s="304" t="str">
        <f>IF(基本情報入力シート!L125="", "", 基本情報入力シート!L125)</f>
        <v/>
      </c>
      <c r="H103" s="304" t="str">
        <f>IF(基本情報入力シート!Q125="", "", 基本情報入力シート!Q125)</f>
        <v/>
      </c>
      <c r="I103" s="304" t="str">
        <f>IF(基本情報入力シート!V125="", "", 基本情報入力シート!V125)</f>
        <v/>
      </c>
      <c r="J103" s="304" t="str">
        <f>IF(基本情報入力シート!W125="", "", 基本情報入力シート!W125)</f>
        <v/>
      </c>
      <c r="K103" s="304" t="str">
        <f>IF(基本情報入力シート!Z125="", "", 基本情報入力シート!Z125)</f>
        <v/>
      </c>
      <c r="L103" s="558" t="str">
        <f>IF(基本情報入力シート!AF125=0, "",基本情報入力シート!AF125)</f>
        <v/>
      </c>
      <c r="M103" s="524" t="str">
        <f>IF('別紙様式2-2（個票（４、５月））'!M103="","",'別紙様式2-2（個票（４、５月））'!M103)</f>
        <v/>
      </c>
      <c r="N103" s="523" t="str">
        <f>IF('別紙様式2-2（個票（４、５月））'!N103="","",'別紙様式2-2（個票（４、５月））'!N103)</f>
        <v/>
      </c>
      <c r="O103" s="286"/>
      <c r="P103" s="555" t="str">
        <f>IFERROR(VLOOKUP(K103,【参考】数式用!$A$2:$M$57,MATCH(O103,【参考】数式用!$G$3:$M$3,0)+6,0),"")</f>
        <v/>
      </c>
      <c r="Q103" s="310" t="s">
        <v>118</v>
      </c>
      <c r="R103" s="308"/>
      <c r="S103" s="309" t="s">
        <v>183</v>
      </c>
      <c r="T103" s="308"/>
      <c r="U103" s="309" t="s">
        <v>184</v>
      </c>
      <c r="V103" s="308"/>
      <c r="W103" s="309" t="s">
        <v>183</v>
      </c>
      <c r="X103" s="308"/>
      <c r="Y103" s="309" t="s">
        <v>120</v>
      </c>
      <c r="Z103" s="309" t="s">
        <v>186</v>
      </c>
      <c r="AA103" s="309" t="str">
        <f t="shared" si="71"/>
        <v/>
      </c>
      <c r="AB103" s="305" t="s">
        <v>187</v>
      </c>
      <c r="AC103" s="306" t="str">
        <f t="shared" si="51"/>
        <v/>
      </c>
      <c r="AD103" s="515" t="str">
        <f t="shared" si="52"/>
        <v/>
      </c>
      <c r="AE103" s="307" t="str">
        <f>IFERROR(ROUNDDOWN(ROUNDDOWN(ROUND(L103*VLOOKUP(K103,【参考】数式用!$A$2:$M$57,MATCH("処遇改善加算Ⅳ",【参考】数式用!$G$3:$M$3,0)+6,0),0),0)*AA103*0.5,0), "")</f>
        <v/>
      </c>
      <c r="AF103" s="318"/>
      <c r="AG103" s="319"/>
      <c r="AH103" s="319"/>
      <c r="AI103" s="318"/>
      <c r="AJ103" s="320"/>
      <c r="AK103" s="326"/>
      <c r="AL103" s="324" t="str">
        <f t="shared" si="41"/>
        <v/>
      </c>
      <c r="AM103" s="325" t="str">
        <f t="shared" si="53"/>
        <v/>
      </c>
      <c r="AN103" s="255"/>
      <c r="AO103" s="557" t="str">
        <f>IFERROR(VLOOKUP(K103,【参考】数式用!$A$2:$N$57,14,FALSE),"")</f>
        <v/>
      </c>
      <c r="AP103" s="557" t="str">
        <f t="shared" si="54"/>
        <v/>
      </c>
      <c r="AQ103" s="561" t="str">
        <f t="shared" si="42"/>
        <v/>
      </c>
      <c r="AR103" s="561" t="str">
        <f t="shared" si="70"/>
        <v>キャリアパス要件Ⅰ・Ⅱ_</v>
      </c>
      <c r="AS103" s="540" t="str">
        <f t="shared" si="43"/>
        <v>入力済</v>
      </c>
      <c r="AT103" s="557" t="str">
        <f t="shared" si="55"/>
        <v/>
      </c>
      <c r="AU103" s="540" t="str">
        <f t="shared" si="44"/>
        <v>入力済</v>
      </c>
      <c r="AV103" s="540" t="str">
        <f t="shared" si="45"/>
        <v/>
      </c>
      <c r="AW103" s="576" t="str">
        <f t="shared" si="56"/>
        <v/>
      </c>
      <c r="AX103" s="557" t="str">
        <f t="shared" si="46"/>
        <v/>
      </c>
      <c r="AY103" s="540" t="str">
        <f>IFERROR(VLOOKUP(K103,【参考】数式用!$AR$3:$AS$49, 2, FALSE), "")</f>
        <v/>
      </c>
      <c r="AZ103" s="557" t="str">
        <f t="shared" si="57"/>
        <v/>
      </c>
      <c r="BA103" s="560" t="str">
        <f t="shared" si="47"/>
        <v>入力済</v>
      </c>
      <c r="BB103" s="540" t="str">
        <f>IFERROR(VLOOKUP(K103,【参考】数式用!$AX$3:$AY$59, 2, FALSE), "")</f>
        <v/>
      </c>
      <c r="BC103" s="557" t="str">
        <f t="shared" si="58"/>
        <v/>
      </c>
      <c r="BD103" s="560" t="str">
        <f t="shared" si="48"/>
        <v>入力済</v>
      </c>
      <c r="BE103" s="560" t="str">
        <f t="shared" si="59"/>
        <v/>
      </c>
      <c r="BF103" s="560" t="str">
        <f t="shared" si="60"/>
        <v/>
      </c>
      <c r="BG103" s="560" t="str">
        <f t="shared" si="61"/>
        <v/>
      </c>
      <c r="BH103" s="560" t="str">
        <f t="shared" si="49"/>
        <v/>
      </c>
      <c r="BI103" s="560" t="str">
        <f t="shared" si="50"/>
        <v/>
      </c>
      <c r="BK103" s="27"/>
      <c r="BL103" s="607" t="str">
        <f t="shared" si="62"/>
        <v/>
      </c>
      <c r="BM103" s="607" t="str">
        <f t="shared" si="63"/>
        <v/>
      </c>
      <c r="BN103" s="607" t="str">
        <f t="shared" si="64"/>
        <v/>
      </c>
      <c r="BO103" s="608" t="str">
        <f>IF(BM103="","",ROUNDDOWN(L103*VLOOKUP(K103,【参考】数式用!$A$4:$J$42,10,FALSE)*AA103,0))</f>
        <v/>
      </c>
      <c r="BP103" s="607" t="str">
        <f t="shared" si="65"/>
        <v/>
      </c>
      <c r="BQ103" s="607" t="str">
        <f t="shared" si="66"/>
        <v/>
      </c>
      <c r="BR103" s="609" t="str">
        <f t="shared" si="67"/>
        <v/>
      </c>
      <c r="BS103" s="609" t="str">
        <f t="shared" si="68"/>
        <v/>
      </c>
      <c r="BT103" s="607" t="str">
        <f t="shared" si="69"/>
        <v/>
      </c>
      <c r="BU103" s="608" t="str">
        <f>IF(BT103="Ⅱロ有り",ROUNDDOWN(L103*VLOOKUP(K103,【参考】数式用!$A$4:$J$42,10,FALSE)*AA103,0),"")</f>
        <v/>
      </c>
      <c r="BV103" s="607" t="str">
        <f>IF(BT103="Ⅱロなし",ROUNDDOWN(L103*VLOOKUP(K103,【参考】数式用!$A$4:$J$42,8,FALSE)*AA103,0),"")</f>
        <v/>
      </c>
    </row>
    <row r="104" spans="1:74" ht="109.9" customHeight="1" thickBot="1">
      <c r="A104" s="303">
        <v>91</v>
      </c>
      <c r="B104" s="956" t="str">
        <f>IF(基本情報入力シート!B126="","",基本情報入力シート!B126)</f>
        <v/>
      </c>
      <c r="C104" s="957"/>
      <c r="D104" s="957"/>
      <c r="E104" s="957"/>
      <c r="F104" s="958"/>
      <c r="G104" s="304" t="str">
        <f>IF(基本情報入力シート!L126="", "", 基本情報入力シート!L126)</f>
        <v/>
      </c>
      <c r="H104" s="304" t="str">
        <f>IF(基本情報入力シート!Q126="", "", 基本情報入力シート!Q126)</f>
        <v/>
      </c>
      <c r="I104" s="304" t="str">
        <f>IF(基本情報入力シート!V126="", "", 基本情報入力シート!V126)</f>
        <v/>
      </c>
      <c r="J104" s="304" t="str">
        <f>IF(基本情報入力シート!W126="", "", 基本情報入力シート!W126)</f>
        <v/>
      </c>
      <c r="K104" s="304" t="str">
        <f>IF(基本情報入力シート!Z126="", "", 基本情報入力シート!Z126)</f>
        <v/>
      </c>
      <c r="L104" s="558" t="str">
        <f>IF(基本情報入力シート!AF126=0, "",基本情報入力シート!AF126)</f>
        <v/>
      </c>
      <c r="M104" s="524" t="str">
        <f>IF('別紙様式2-2（個票（４、５月））'!M104="","",'別紙様式2-2（個票（４、５月））'!M104)</f>
        <v/>
      </c>
      <c r="N104" s="523" t="str">
        <f>IF('別紙様式2-2（個票（４、５月））'!N104="","",'別紙様式2-2（個票（４、５月））'!N104)</f>
        <v/>
      </c>
      <c r="O104" s="286"/>
      <c r="P104" s="555" t="str">
        <f>IFERROR(VLOOKUP(K104,【参考】数式用!$A$2:$M$57,MATCH(O104,【参考】数式用!$G$3:$M$3,0)+6,0),"")</f>
        <v/>
      </c>
      <c r="Q104" s="310" t="s">
        <v>118</v>
      </c>
      <c r="R104" s="308"/>
      <c r="S104" s="309" t="s">
        <v>183</v>
      </c>
      <c r="T104" s="308"/>
      <c r="U104" s="309" t="s">
        <v>184</v>
      </c>
      <c r="V104" s="308"/>
      <c r="W104" s="309" t="s">
        <v>183</v>
      </c>
      <c r="X104" s="308"/>
      <c r="Y104" s="309" t="s">
        <v>185</v>
      </c>
      <c r="Z104" s="309" t="s">
        <v>186</v>
      </c>
      <c r="AA104" s="309" t="str">
        <f t="shared" si="71"/>
        <v/>
      </c>
      <c r="AB104" s="305" t="s">
        <v>187</v>
      </c>
      <c r="AC104" s="306" t="str">
        <f t="shared" si="51"/>
        <v/>
      </c>
      <c r="AD104" s="515" t="str">
        <f t="shared" si="52"/>
        <v/>
      </c>
      <c r="AE104" s="307" t="str">
        <f>IFERROR(ROUNDDOWN(ROUNDDOWN(ROUND(L104*VLOOKUP(K104,【参考】数式用!$A$2:$M$57,MATCH("処遇改善加算Ⅳ",【参考】数式用!$G$3:$M$3,0)+6,0),0),0)*AA104*0.5,0), "")</f>
        <v/>
      </c>
      <c r="AF104" s="318"/>
      <c r="AG104" s="319"/>
      <c r="AH104" s="319"/>
      <c r="AI104" s="318"/>
      <c r="AJ104" s="320"/>
      <c r="AK104" s="326"/>
      <c r="AL104" s="324" t="str">
        <f t="shared" si="41"/>
        <v/>
      </c>
      <c r="AM104" s="325" t="str">
        <f t="shared" si="53"/>
        <v/>
      </c>
      <c r="AN104" s="255"/>
      <c r="AO104" s="557" t="str">
        <f>IFERROR(VLOOKUP(K104,【参考】数式用!$A$2:$N$57,14,FALSE),"")</f>
        <v/>
      </c>
      <c r="AP104" s="557" t="str">
        <f t="shared" si="54"/>
        <v/>
      </c>
      <c r="AQ104" s="561" t="str">
        <f t="shared" si="42"/>
        <v/>
      </c>
      <c r="AR104" s="561" t="str">
        <f t="shared" si="70"/>
        <v>キャリアパス要件Ⅰ・Ⅱ_</v>
      </c>
      <c r="AS104" s="540" t="str">
        <f t="shared" si="43"/>
        <v>入力済</v>
      </c>
      <c r="AT104" s="557" t="str">
        <f t="shared" si="55"/>
        <v/>
      </c>
      <c r="AU104" s="540" t="str">
        <f t="shared" si="44"/>
        <v>入力済</v>
      </c>
      <c r="AV104" s="540" t="str">
        <f t="shared" si="45"/>
        <v/>
      </c>
      <c r="AW104" s="576" t="str">
        <f t="shared" si="56"/>
        <v/>
      </c>
      <c r="AX104" s="557" t="str">
        <f t="shared" si="46"/>
        <v/>
      </c>
      <c r="AY104" s="540" t="str">
        <f>IFERROR(VLOOKUP(K104,【参考】数式用!$AR$3:$AS$49, 2, FALSE), "")</f>
        <v/>
      </c>
      <c r="AZ104" s="557" t="str">
        <f t="shared" si="57"/>
        <v/>
      </c>
      <c r="BA104" s="560" t="str">
        <f t="shared" si="47"/>
        <v>入力済</v>
      </c>
      <c r="BB104" s="540" t="str">
        <f>IFERROR(VLOOKUP(K104,【参考】数式用!$AX$3:$AY$59, 2, FALSE), "")</f>
        <v/>
      </c>
      <c r="BC104" s="557" t="str">
        <f t="shared" si="58"/>
        <v/>
      </c>
      <c r="BD104" s="560" t="str">
        <f t="shared" si="48"/>
        <v>入力済</v>
      </c>
      <c r="BE104" s="560" t="str">
        <f t="shared" si="59"/>
        <v/>
      </c>
      <c r="BF104" s="560" t="str">
        <f t="shared" si="60"/>
        <v/>
      </c>
      <c r="BG104" s="560" t="str">
        <f t="shared" si="61"/>
        <v/>
      </c>
      <c r="BH104" s="560" t="str">
        <f t="shared" si="49"/>
        <v/>
      </c>
      <c r="BI104" s="560" t="str">
        <f t="shared" si="50"/>
        <v/>
      </c>
      <c r="BK104" s="27"/>
      <c r="BL104" s="607" t="str">
        <f t="shared" si="62"/>
        <v/>
      </c>
      <c r="BM104" s="607" t="str">
        <f t="shared" si="63"/>
        <v/>
      </c>
      <c r="BN104" s="607" t="str">
        <f t="shared" si="64"/>
        <v/>
      </c>
      <c r="BO104" s="608" t="str">
        <f>IF(BM104="","",ROUNDDOWN(L104*VLOOKUP(K104,【参考】数式用!$A$4:$J$42,10,FALSE)*AA104,0))</f>
        <v/>
      </c>
      <c r="BP104" s="607" t="str">
        <f t="shared" si="65"/>
        <v/>
      </c>
      <c r="BQ104" s="607" t="str">
        <f t="shared" si="66"/>
        <v/>
      </c>
      <c r="BR104" s="609" t="str">
        <f t="shared" si="67"/>
        <v/>
      </c>
      <c r="BS104" s="609" t="str">
        <f t="shared" si="68"/>
        <v/>
      </c>
      <c r="BT104" s="607" t="str">
        <f t="shared" si="69"/>
        <v/>
      </c>
      <c r="BU104" s="608" t="str">
        <f>IF(BT104="Ⅱロ有り",ROUNDDOWN(L104*VLOOKUP(K104,【参考】数式用!$A$4:$J$42,10,FALSE)*AA104,0),"")</f>
        <v/>
      </c>
      <c r="BV104" s="607" t="str">
        <f>IF(BT104="Ⅱロなし",ROUNDDOWN(L104*VLOOKUP(K104,【参考】数式用!$A$4:$J$42,8,FALSE)*AA104,0),"")</f>
        <v/>
      </c>
    </row>
    <row r="105" spans="1:74" ht="109.9" customHeight="1" thickBot="1">
      <c r="A105" s="303">
        <v>92</v>
      </c>
      <c r="B105" s="956" t="str">
        <f>IF(基本情報入力シート!B127="","",基本情報入力シート!B127)</f>
        <v/>
      </c>
      <c r="C105" s="957"/>
      <c r="D105" s="957"/>
      <c r="E105" s="957"/>
      <c r="F105" s="958"/>
      <c r="G105" s="304" t="str">
        <f>IF(基本情報入力シート!L127="", "", 基本情報入力シート!L127)</f>
        <v/>
      </c>
      <c r="H105" s="304" t="str">
        <f>IF(基本情報入力シート!Q127="", "", 基本情報入力シート!Q127)</f>
        <v/>
      </c>
      <c r="I105" s="304" t="str">
        <f>IF(基本情報入力シート!V127="", "", 基本情報入力シート!V127)</f>
        <v/>
      </c>
      <c r="J105" s="304" t="str">
        <f>IF(基本情報入力シート!W127="", "", 基本情報入力シート!W127)</f>
        <v/>
      </c>
      <c r="K105" s="304" t="str">
        <f>IF(基本情報入力シート!Z127="", "", 基本情報入力シート!Z127)</f>
        <v/>
      </c>
      <c r="L105" s="558" t="str">
        <f>IF(基本情報入力シート!AF127=0, "",基本情報入力シート!AF127)</f>
        <v/>
      </c>
      <c r="M105" s="524" t="str">
        <f>IF('別紙様式2-2（個票（４、５月））'!M105="","",'別紙様式2-2（個票（４、５月））'!M105)</f>
        <v/>
      </c>
      <c r="N105" s="523" t="str">
        <f>IF('別紙様式2-2（個票（４、５月））'!N105="","",'別紙様式2-2（個票（４、５月））'!N105)</f>
        <v/>
      </c>
      <c r="O105" s="286"/>
      <c r="P105" s="555" t="str">
        <f>IFERROR(VLOOKUP(K105,【参考】数式用!$A$2:$M$57,MATCH(O105,【参考】数式用!$G$3:$M$3,0)+6,0),"")</f>
        <v/>
      </c>
      <c r="Q105" s="310" t="s">
        <v>118</v>
      </c>
      <c r="R105" s="308"/>
      <c r="S105" s="309" t="s">
        <v>183</v>
      </c>
      <c r="T105" s="308"/>
      <c r="U105" s="309" t="s">
        <v>184</v>
      </c>
      <c r="V105" s="308"/>
      <c r="W105" s="309" t="s">
        <v>183</v>
      </c>
      <c r="X105" s="308"/>
      <c r="Y105" s="309" t="s">
        <v>185</v>
      </c>
      <c r="Z105" s="309" t="s">
        <v>186</v>
      </c>
      <c r="AA105" s="309" t="str">
        <f t="shared" si="71"/>
        <v/>
      </c>
      <c r="AB105" s="305" t="s">
        <v>187</v>
      </c>
      <c r="AC105" s="306" t="str">
        <f t="shared" si="51"/>
        <v/>
      </c>
      <c r="AD105" s="515" t="str">
        <f t="shared" si="52"/>
        <v/>
      </c>
      <c r="AE105" s="307" t="str">
        <f>IFERROR(ROUNDDOWN(ROUNDDOWN(ROUND(L105*VLOOKUP(K105,【参考】数式用!$A$2:$M$57,MATCH("処遇改善加算Ⅳ",【参考】数式用!$G$3:$M$3,0)+6,0),0),0)*AA105*0.5,0), "")</f>
        <v/>
      </c>
      <c r="AF105" s="318"/>
      <c r="AG105" s="319"/>
      <c r="AH105" s="319"/>
      <c r="AI105" s="318"/>
      <c r="AJ105" s="320"/>
      <c r="AK105" s="326"/>
      <c r="AL105" s="324" t="str">
        <f t="shared" si="41"/>
        <v/>
      </c>
      <c r="AM105" s="325" t="str">
        <f t="shared" si="53"/>
        <v/>
      </c>
      <c r="AN105" s="255"/>
      <c r="AO105" s="557" t="str">
        <f>IFERROR(VLOOKUP(K105,【参考】数式用!$A$2:$N$57,14,FALSE),"")</f>
        <v/>
      </c>
      <c r="AP105" s="557" t="str">
        <f t="shared" si="54"/>
        <v/>
      </c>
      <c r="AQ105" s="561" t="str">
        <f t="shared" si="42"/>
        <v/>
      </c>
      <c r="AR105" s="561" t="str">
        <f t="shared" si="70"/>
        <v>キャリアパス要件Ⅰ・Ⅱ_</v>
      </c>
      <c r="AS105" s="540" t="str">
        <f t="shared" si="43"/>
        <v>入力済</v>
      </c>
      <c r="AT105" s="557" t="str">
        <f t="shared" si="55"/>
        <v/>
      </c>
      <c r="AU105" s="540" t="str">
        <f t="shared" si="44"/>
        <v>入力済</v>
      </c>
      <c r="AV105" s="540" t="str">
        <f t="shared" si="45"/>
        <v/>
      </c>
      <c r="AW105" s="576" t="str">
        <f t="shared" si="56"/>
        <v/>
      </c>
      <c r="AX105" s="557" t="str">
        <f t="shared" si="46"/>
        <v/>
      </c>
      <c r="AY105" s="540" t="str">
        <f>IFERROR(VLOOKUP(K105,【参考】数式用!$AR$3:$AS$49, 2, FALSE), "")</f>
        <v/>
      </c>
      <c r="AZ105" s="557" t="str">
        <f t="shared" si="57"/>
        <v/>
      </c>
      <c r="BA105" s="560" t="str">
        <f t="shared" si="47"/>
        <v>入力済</v>
      </c>
      <c r="BB105" s="540" t="str">
        <f>IFERROR(VLOOKUP(K105,【参考】数式用!$AX$3:$AY$59, 2, FALSE), "")</f>
        <v/>
      </c>
      <c r="BC105" s="557" t="str">
        <f t="shared" si="58"/>
        <v/>
      </c>
      <c r="BD105" s="560" t="str">
        <f t="shared" si="48"/>
        <v>入力済</v>
      </c>
      <c r="BE105" s="560" t="str">
        <f t="shared" si="59"/>
        <v/>
      </c>
      <c r="BF105" s="560" t="str">
        <f t="shared" si="60"/>
        <v/>
      </c>
      <c r="BG105" s="560" t="str">
        <f t="shared" si="61"/>
        <v/>
      </c>
      <c r="BH105" s="560" t="str">
        <f t="shared" si="49"/>
        <v/>
      </c>
      <c r="BI105" s="560" t="str">
        <f t="shared" si="50"/>
        <v/>
      </c>
      <c r="BK105" s="27"/>
      <c r="BL105" s="607" t="str">
        <f t="shared" si="62"/>
        <v/>
      </c>
      <c r="BM105" s="607" t="str">
        <f t="shared" si="63"/>
        <v/>
      </c>
      <c r="BN105" s="607" t="str">
        <f t="shared" si="64"/>
        <v/>
      </c>
      <c r="BO105" s="608" t="str">
        <f>IF(BM105="","",ROUNDDOWN(L105*VLOOKUP(K105,【参考】数式用!$A$4:$J$42,10,FALSE)*AA105,0))</f>
        <v/>
      </c>
      <c r="BP105" s="607" t="str">
        <f t="shared" si="65"/>
        <v/>
      </c>
      <c r="BQ105" s="607" t="str">
        <f t="shared" si="66"/>
        <v/>
      </c>
      <c r="BR105" s="609" t="str">
        <f t="shared" si="67"/>
        <v/>
      </c>
      <c r="BS105" s="609" t="str">
        <f t="shared" si="68"/>
        <v/>
      </c>
      <c r="BT105" s="607" t="str">
        <f t="shared" si="69"/>
        <v/>
      </c>
      <c r="BU105" s="608" t="str">
        <f>IF(BT105="Ⅱロ有り",ROUNDDOWN(L105*VLOOKUP(K105,【参考】数式用!$A$4:$J$42,10,FALSE)*AA105,0),"")</f>
        <v/>
      </c>
      <c r="BV105" s="607" t="str">
        <f>IF(BT105="Ⅱロなし",ROUNDDOWN(L105*VLOOKUP(K105,【参考】数式用!$A$4:$J$42,8,FALSE)*AA105,0),"")</f>
        <v/>
      </c>
    </row>
    <row r="106" spans="1:74" ht="109.9" customHeight="1" thickBot="1">
      <c r="A106" s="303">
        <v>93</v>
      </c>
      <c r="B106" s="956" t="str">
        <f>IF(基本情報入力シート!B128="","",基本情報入力シート!B128)</f>
        <v/>
      </c>
      <c r="C106" s="957"/>
      <c r="D106" s="957"/>
      <c r="E106" s="957"/>
      <c r="F106" s="958"/>
      <c r="G106" s="304" t="str">
        <f>IF(基本情報入力シート!L128="", "", 基本情報入力シート!L128)</f>
        <v/>
      </c>
      <c r="H106" s="304" t="str">
        <f>IF(基本情報入力シート!Q128="", "", 基本情報入力シート!Q128)</f>
        <v/>
      </c>
      <c r="I106" s="304" t="str">
        <f>IF(基本情報入力シート!V128="", "", 基本情報入力シート!V128)</f>
        <v/>
      </c>
      <c r="J106" s="304" t="str">
        <f>IF(基本情報入力シート!W128="", "", 基本情報入力シート!W128)</f>
        <v/>
      </c>
      <c r="K106" s="304" t="str">
        <f>IF(基本情報入力シート!Z128="", "", 基本情報入力シート!Z128)</f>
        <v/>
      </c>
      <c r="L106" s="558" t="str">
        <f>IF(基本情報入力シート!AF128=0, "",基本情報入力シート!AF128)</f>
        <v/>
      </c>
      <c r="M106" s="524" t="str">
        <f>IF('別紙様式2-2（個票（４、５月））'!M106="","",'別紙様式2-2（個票（４、５月））'!M106)</f>
        <v/>
      </c>
      <c r="N106" s="523" t="str">
        <f>IF('別紙様式2-2（個票（４、５月））'!N106="","",'別紙様式2-2（個票（４、５月））'!N106)</f>
        <v/>
      </c>
      <c r="O106" s="286"/>
      <c r="P106" s="555" t="str">
        <f>IFERROR(VLOOKUP(K106,【参考】数式用!$A$2:$M$57,MATCH(O106,【参考】数式用!$G$3:$M$3,0)+6,0),"")</f>
        <v/>
      </c>
      <c r="Q106" s="310" t="s">
        <v>118</v>
      </c>
      <c r="R106" s="308"/>
      <c r="S106" s="309" t="s">
        <v>183</v>
      </c>
      <c r="T106" s="308"/>
      <c r="U106" s="309" t="s">
        <v>184</v>
      </c>
      <c r="V106" s="308"/>
      <c r="W106" s="309" t="s">
        <v>183</v>
      </c>
      <c r="X106" s="308"/>
      <c r="Y106" s="309" t="s">
        <v>185</v>
      </c>
      <c r="Z106" s="309" t="s">
        <v>186</v>
      </c>
      <c r="AA106" s="309" t="str">
        <f t="shared" si="71"/>
        <v/>
      </c>
      <c r="AB106" s="305" t="s">
        <v>187</v>
      </c>
      <c r="AC106" s="306" t="str">
        <f t="shared" si="51"/>
        <v/>
      </c>
      <c r="AD106" s="515" t="str">
        <f t="shared" si="52"/>
        <v/>
      </c>
      <c r="AE106" s="307" t="str">
        <f>IFERROR(ROUNDDOWN(ROUNDDOWN(ROUND(L106*VLOOKUP(K106,【参考】数式用!$A$2:$M$57,MATCH("処遇改善加算Ⅳ",【参考】数式用!$G$3:$M$3,0)+6,0),0),0)*AA106*0.5,0), "")</f>
        <v/>
      </c>
      <c r="AF106" s="318"/>
      <c r="AG106" s="319"/>
      <c r="AH106" s="319"/>
      <c r="AI106" s="318"/>
      <c r="AJ106" s="320"/>
      <c r="AK106" s="326"/>
      <c r="AL106" s="324" t="str">
        <f t="shared" si="41"/>
        <v/>
      </c>
      <c r="AM106" s="325" t="str">
        <f t="shared" si="53"/>
        <v/>
      </c>
      <c r="AN106" s="255"/>
      <c r="AO106" s="557" t="str">
        <f>IFERROR(VLOOKUP(K106,【参考】数式用!$A$2:$N$57,14,FALSE),"")</f>
        <v/>
      </c>
      <c r="AP106" s="557" t="str">
        <f t="shared" si="54"/>
        <v/>
      </c>
      <c r="AQ106" s="561" t="str">
        <f t="shared" si="42"/>
        <v/>
      </c>
      <c r="AR106" s="561" t="str">
        <f t="shared" si="70"/>
        <v>キャリアパス要件Ⅰ・Ⅱ_</v>
      </c>
      <c r="AS106" s="540" t="str">
        <f t="shared" si="43"/>
        <v>入力済</v>
      </c>
      <c r="AT106" s="557" t="str">
        <f t="shared" si="55"/>
        <v/>
      </c>
      <c r="AU106" s="540" t="str">
        <f t="shared" si="44"/>
        <v>入力済</v>
      </c>
      <c r="AV106" s="540" t="str">
        <f t="shared" si="45"/>
        <v/>
      </c>
      <c r="AW106" s="576" t="str">
        <f t="shared" si="56"/>
        <v/>
      </c>
      <c r="AX106" s="557" t="str">
        <f t="shared" si="46"/>
        <v/>
      </c>
      <c r="AY106" s="540" t="str">
        <f>IFERROR(VLOOKUP(K106,【参考】数式用!$AR$3:$AS$49, 2, FALSE), "")</f>
        <v/>
      </c>
      <c r="AZ106" s="557" t="str">
        <f t="shared" si="57"/>
        <v/>
      </c>
      <c r="BA106" s="560" t="str">
        <f t="shared" si="47"/>
        <v>入力済</v>
      </c>
      <c r="BB106" s="540" t="str">
        <f>IFERROR(VLOOKUP(K106,【参考】数式用!$AX$3:$AY$59, 2, FALSE), "")</f>
        <v/>
      </c>
      <c r="BC106" s="557" t="str">
        <f t="shared" si="58"/>
        <v/>
      </c>
      <c r="BD106" s="560" t="str">
        <f t="shared" si="48"/>
        <v>入力済</v>
      </c>
      <c r="BE106" s="560" t="str">
        <f t="shared" si="59"/>
        <v/>
      </c>
      <c r="BF106" s="560" t="str">
        <f t="shared" si="60"/>
        <v/>
      </c>
      <c r="BG106" s="560" t="str">
        <f t="shared" si="61"/>
        <v/>
      </c>
      <c r="BH106" s="560" t="str">
        <f t="shared" si="49"/>
        <v/>
      </c>
      <c r="BI106" s="560" t="str">
        <f t="shared" si="50"/>
        <v/>
      </c>
      <c r="BK106" s="27"/>
      <c r="BL106" s="607" t="str">
        <f t="shared" si="62"/>
        <v/>
      </c>
      <c r="BM106" s="607" t="str">
        <f t="shared" si="63"/>
        <v/>
      </c>
      <c r="BN106" s="607" t="str">
        <f t="shared" si="64"/>
        <v/>
      </c>
      <c r="BO106" s="608" t="str">
        <f>IF(BM106="","",ROUNDDOWN(L106*VLOOKUP(K106,【参考】数式用!$A$4:$J$42,10,FALSE)*AA106,0))</f>
        <v/>
      </c>
      <c r="BP106" s="607" t="str">
        <f t="shared" si="65"/>
        <v/>
      </c>
      <c r="BQ106" s="607" t="str">
        <f t="shared" si="66"/>
        <v/>
      </c>
      <c r="BR106" s="609" t="str">
        <f t="shared" si="67"/>
        <v/>
      </c>
      <c r="BS106" s="609" t="str">
        <f t="shared" si="68"/>
        <v/>
      </c>
      <c r="BT106" s="607" t="str">
        <f t="shared" si="69"/>
        <v/>
      </c>
      <c r="BU106" s="608" t="str">
        <f>IF(BT106="Ⅱロ有り",ROUNDDOWN(L106*VLOOKUP(K106,【参考】数式用!$A$4:$J$42,10,FALSE)*AA106,0),"")</f>
        <v/>
      </c>
      <c r="BV106" s="607" t="str">
        <f>IF(BT106="Ⅱロなし",ROUNDDOWN(L106*VLOOKUP(K106,【参考】数式用!$A$4:$J$42,8,FALSE)*AA106,0),"")</f>
        <v/>
      </c>
    </row>
    <row r="107" spans="1:74" ht="109.9" customHeight="1" thickBot="1">
      <c r="A107" s="303">
        <v>94</v>
      </c>
      <c r="B107" s="956" t="str">
        <f>IF(基本情報入力シート!B129="","",基本情報入力シート!B129)</f>
        <v/>
      </c>
      <c r="C107" s="957"/>
      <c r="D107" s="957"/>
      <c r="E107" s="957"/>
      <c r="F107" s="958"/>
      <c r="G107" s="304" t="str">
        <f>IF(基本情報入力シート!L129="", "", 基本情報入力シート!L129)</f>
        <v/>
      </c>
      <c r="H107" s="304" t="str">
        <f>IF(基本情報入力シート!Q129="", "", 基本情報入力シート!Q129)</f>
        <v/>
      </c>
      <c r="I107" s="304" t="str">
        <f>IF(基本情報入力シート!V129="", "", 基本情報入力シート!V129)</f>
        <v/>
      </c>
      <c r="J107" s="304" t="str">
        <f>IF(基本情報入力シート!W129="", "", 基本情報入力シート!W129)</f>
        <v/>
      </c>
      <c r="K107" s="304" t="str">
        <f>IF(基本情報入力シート!Z129="", "", 基本情報入力シート!Z129)</f>
        <v/>
      </c>
      <c r="L107" s="558" t="str">
        <f>IF(基本情報入力シート!AF129=0, "",基本情報入力シート!AF129)</f>
        <v/>
      </c>
      <c r="M107" s="524" t="str">
        <f>IF('別紙様式2-2（個票（４、５月））'!M107="","",'別紙様式2-2（個票（４、５月））'!M107)</f>
        <v/>
      </c>
      <c r="N107" s="523" t="str">
        <f>IF('別紙様式2-2（個票（４、５月））'!N107="","",'別紙様式2-2（個票（４、５月））'!N107)</f>
        <v/>
      </c>
      <c r="O107" s="286"/>
      <c r="P107" s="555" t="str">
        <f>IFERROR(VLOOKUP(K107,【参考】数式用!$A$2:$M$57,MATCH(O107,【参考】数式用!$G$3:$M$3,0)+6,0),"")</f>
        <v/>
      </c>
      <c r="Q107" s="310" t="s">
        <v>118</v>
      </c>
      <c r="R107" s="308"/>
      <c r="S107" s="309" t="s">
        <v>183</v>
      </c>
      <c r="T107" s="308"/>
      <c r="U107" s="309" t="s">
        <v>184</v>
      </c>
      <c r="V107" s="308"/>
      <c r="W107" s="309" t="s">
        <v>183</v>
      </c>
      <c r="X107" s="308"/>
      <c r="Y107" s="309" t="s">
        <v>120</v>
      </c>
      <c r="Z107" s="309" t="s">
        <v>186</v>
      </c>
      <c r="AA107" s="309" t="str">
        <f t="shared" si="71"/>
        <v/>
      </c>
      <c r="AB107" s="305" t="s">
        <v>187</v>
      </c>
      <c r="AC107" s="306" t="str">
        <f t="shared" si="51"/>
        <v/>
      </c>
      <c r="AD107" s="515" t="str">
        <f t="shared" si="52"/>
        <v/>
      </c>
      <c r="AE107" s="307" t="str">
        <f>IFERROR(ROUNDDOWN(ROUNDDOWN(ROUND(L107*VLOOKUP(K107,【参考】数式用!$A$2:$M$57,MATCH("処遇改善加算Ⅳ",【参考】数式用!$G$3:$M$3,0)+6,0),0),0)*AA107*0.5,0), "")</f>
        <v/>
      </c>
      <c r="AF107" s="318"/>
      <c r="AG107" s="319"/>
      <c r="AH107" s="319"/>
      <c r="AI107" s="318"/>
      <c r="AJ107" s="320"/>
      <c r="AK107" s="326"/>
      <c r="AL107" s="324" t="str">
        <f t="shared" si="41"/>
        <v/>
      </c>
      <c r="AM107" s="325" t="str">
        <f t="shared" si="53"/>
        <v/>
      </c>
      <c r="AN107" s="255"/>
      <c r="AO107" s="557" t="str">
        <f>IFERROR(VLOOKUP(K107,【参考】数式用!$A$2:$N$57,14,FALSE),"")</f>
        <v/>
      </c>
      <c r="AP107" s="557" t="str">
        <f t="shared" si="54"/>
        <v/>
      </c>
      <c r="AQ107" s="561" t="str">
        <f t="shared" si="42"/>
        <v/>
      </c>
      <c r="AR107" s="561" t="str">
        <f t="shared" si="70"/>
        <v>キャリアパス要件Ⅰ・Ⅱ_</v>
      </c>
      <c r="AS107" s="540" t="str">
        <f t="shared" si="43"/>
        <v>入力済</v>
      </c>
      <c r="AT107" s="557" t="str">
        <f t="shared" si="55"/>
        <v/>
      </c>
      <c r="AU107" s="540" t="str">
        <f t="shared" si="44"/>
        <v>入力済</v>
      </c>
      <c r="AV107" s="540" t="str">
        <f t="shared" si="45"/>
        <v/>
      </c>
      <c r="AW107" s="576" t="str">
        <f t="shared" si="56"/>
        <v/>
      </c>
      <c r="AX107" s="557" t="str">
        <f t="shared" si="46"/>
        <v/>
      </c>
      <c r="AY107" s="540" t="str">
        <f>IFERROR(VLOOKUP(K107,【参考】数式用!$AR$3:$AS$49, 2, FALSE), "")</f>
        <v/>
      </c>
      <c r="AZ107" s="557" t="str">
        <f t="shared" si="57"/>
        <v/>
      </c>
      <c r="BA107" s="560" t="str">
        <f t="shared" si="47"/>
        <v>入力済</v>
      </c>
      <c r="BB107" s="540" t="str">
        <f>IFERROR(VLOOKUP(K107,【参考】数式用!$AX$3:$AY$59, 2, FALSE), "")</f>
        <v/>
      </c>
      <c r="BC107" s="557" t="str">
        <f t="shared" si="58"/>
        <v/>
      </c>
      <c r="BD107" s="560" t="str">
        <f t="shared" si="48"/>
        <v>入力済</v>
      </c>
      <c r="BE107" s="560" t="str">
        <f t="shared" si="59"/>
        <v/>
      </c>
      <c r="BF107" s="560" t="str">
        <f t="shared" si="60"/>
        <v/>
      </c>
      <c r="BG107" s="560" t="str">
        <f t="shared" si="61"/>
        <v/>
      </c>
      <c r="BH107" s="560" t="str">
        <f t="shared" si="49"/>
        <v/>
      </c>
      <c r="BI107" s="560" t="str">
        <f t="shared" si="50"/>
        <v/>
      </c>
      <c r="BK107" s="27"/>
      <c r="BL107" s="607" t="str">
        <f t="shared" si="62"/>
        <v/>
      </c>
      <c r="BM107" s="607" t="str">
        <f t="shared" si="63"/>
        <v/>
      </c>
      <c r="BN107" s="607" t="str">
        <f t="shared" si="64"/>
        <v/>
      </c>
      <c r="BO107" s="608" t="str">
        <f>IF(BM107="","",ROUNDDOWN(L107*VLOOKUP(K107,【参考】数式用!$A$4:$J$42,10,FALSE)*AA107,0))</f>
        <v/>
      </c>
      <c r="BP107" s="607" t="str">
        <f t="shared" si="65"/>
        <v/>
      </c>
      <c r="BQ107" s="607" t="str">
        <f t="shared" si="66"/>
        <v/>
      </c>
      <c r="BR107" s="609" t="str">
        <f t="shared" si="67"/>
        <v/>
      </c>
      <c r="BS107" s="609" t="str">
        <f t="shared" si="68"/>
        <v/>
      </c>
      <c r="BT107" s="607" t="str">
        <f t="shared" si="69"/>
        <v/>
      </c>
      <c r="BU107" s="608" t="str">
        <f>IF(BT107="Ⅱロ有り",ROUNDDOWN(L107*VLOOKUP(K107,【参考】数式用!$A$4:$J$42,10,FALSE)*AA107,0),"")</f>
        <v/>
      </c>
      <c r="BV107" s="607" t="str">
        <f>IF(BT107="Ⅱロなし",ROUNDDOWN(L107*VLOOKUP(K107,【参考】数式用!$A$4:$J$42,8,FALSE)*AA107,0),"")</f>
        <v/>
      </c>
    </row>
    <row r="108" spans="1:74" ht="109.9" customHeight="1" thickBot="1">
      <c r="A108" s="303">
        <v>95</v>
      </c>
      <c r="B108" s="956" t="str">
        <f>IF(基本情報入力シート!B130="","",基本情報入力シート!B130)</f>
        <v/>
      </c>
      <c r="C108" s="957"/>
      <c r="D108" s="957"/>
      <c r="E108" s="957"/>
      <c r="F108" s="958"/>
      <c r="G108" s="304" t="str">
        <f>IF(基本情報入力シート!L130="", "", 基本情報入力シート!L130)</f>
        <v/>
      </c>
      <c r="H108" s="304" t="str">
        <f>IF(基本情報入力シート!Q130="", "", 基本情報入力シート!Q130)</f>
        <v/>
      </c>
      <c r="I108" s="304" t="str">
        <f>IF(基本情報入力シート!V130="", "", 基本情報入力シート!V130)</f>
        <v/>
      </c>
      <c r="J108" s="304" t="str">
        <f>IF(基本情報入力シート!W130="", "", 基本情報入力シート!W130)</f>
        <v/>
      </c>
      <c r="K108" s="304" t="str">
        <f>IF(基本情報入力シート!Z130="", "", 基本情報入力シート!Z130)</f>
        <v/>
      </c>
      <c r="L108" s="558" t="str">
        <f>IF(基本情報入力シート!AF130=0, "",基本情報入力シート!AF130)</f>
        <v/>
      </c>
      <c r="M108" s="524" t="str">
        <f>IF('別紙様式2-2（個票（４、５月））'!M108="","",'別紙様式2-2（個票（４、５月））'!M108)</f>
        <v/>
      </c>
      <c r="N108" s="523" t="str">
        <f>IF('別紙様式2-2（個票（４、５月））'!N108="","",'別紙様式2-2（個票（４、５月））'!N108)</f>
        <v/>
      </c>
      <c r="O108" s="286"/>
      <c r="P108" s="555" t="str">
        <f>IFERROR(VLOOKUP(K108,【参考】数式用!$A$2:$M$57,MATCH(O108,【参考】数式用!$G$3:$M$3,0)+6,0),"")</f>
        <v/>
      </c>
      <c r="Q108" s="310" t="s">
        <v>118</v>
      </c>
      <c r="R108" s="308"/>
      <c r="S108" s="309" t="s">
        <v>183</v>
      </c>
      <c r="T108" s="308"/>
      <c r="U108" s="309" t="s">
        <v>184</v>
      </c>
      <c r="V108" s="308"/>
      <c r="W108" s="309" t="s">
        <v>183</v>
      </c>
      <c r="X108" s="308"/>
      <c r="Y108" s="309" t="s">
        <v>120</v>
      </c>
      <c r="Z108" s="309" t="s">
        <v>186</v>
      </c>
      <c r="AA108" s="309" t="str">
        <f t="shared" si="71"/>
        <v/>
      </c>
      <c r="AB108" s="305" t="s">
        <v>187</v>
      </c>
      <c r="AC108" s="306" t="str">
        <f t="shared" si="51"/>
        <v/>
      </c>
      <c r="AD108" s="515" t="str">
        <f t="shared" si="52"/>
        <v/>
      </c>
      <c r="AE108" s="307" t="str">
        <f>IFERROR(ROUNDDOWN(ROUNDDOWN(ROUND(L108*VLOOKUP(K108,【参考】数式用!$A$2:$M$57,MATCH("処遇改善加算Ⅳ",【参考】数式用!$G$3:$M$3,0)+6,0),0),0)*AA108*0.5,0), "")</f>
        <v/>
      </c>
      <c r="AF108" s="318"/>
      <c r="AG108" s="319"/>
      <c r="AH108" s="319"/>
      <c r="AI108" s="318"/>
      <c r="AJ108" s="320"/>
      <c r="AK108" s="326"/>
      <c r="AL108" s="324" t="str">
        <f t="shared" si="41"/>
        <v/>
      </c>
      <c r="AM108" s="325" t="str">
        <f t="shared" si="53"/>
        <v/>
      </c>
      <c r="AN108" s="255"/>
      <c r="AO108" s="557" t="str">
        <f>IFERROR(VLOOKUP(K108,【参考】数式用!$A$2:$N$57,14,FALSE),"")</f>
        <v/>
      </c>
      <c r="AP108" s="557" t="str">
        <f t="shared" si="54"/>
        <v/>
      </c>
      <c r="AQ108" s="561" t="str">
        <f t="shared" si="42"/>
        <v/>
      </c>
      <c r="AR108" s="561" t="str">
        <f t="shared" si="70"/>
        <v>キャリアパス要件Ⅰ・Ⅱ_</v>
      </c>
      <c r="AS108" s="540" t="str">
        <f t="shared" si="43"/>
        <v>入力済</v>
      </c>
      <c r="AT108" s="557" t="str">
        <f t="shared" si="55"/>
        <v/>
      </c>
      <c r="AU108" s="540" t="str">
        <f t="shared" si="44"/>
        <v>入力済</v>
      </c>
      <c r="AV108" s="540" t="str">
        <f t="shared" si="45"/>
        <v/>
      </c>
      <c r="AW108" s="576" t="str">
        <f t="shared" si="56"/>
        <v/>
      </c>
      <c r="AX108" s="557" t="str">
        <f t="shared" si="46"/>
        <v/>
      </c>
      <c r="AY108" s="540" t="str">
        <f>IFERROR(VLOOKUP(K108,【参考】数式用!$AR$3:$AS$49, 2, FALSE), "")</f>
        <v/>
      </c>
      <c r="AZ108" s="557" t="str">
        <f t="shared" si="57"/>
        <v/>
      </c>
      <c r="BA108" s="560" t="str">
        <f t="shared" si="47"/>
        <v>入力済</v>
      </c>
      <c r="BB108" s="540" t="str">
        <f>IFERROR(VLOOKUP(K108,【参考】数式用!$AX$3:$AY$59, 2, FALSE), "")</f>
        <v/>
      </c>
      <c r="BC108" s="557" t="str">
        <f t="shared" si="58"/>
        <v/>
      </c>
      <c r="BD108" s="560" t="str">
        <f t="shared" si="48"/>
        <v>入力済</v>
      </c>
      <c r="BE108" s="560" t="str">
        <f t="shared" si="59"/>
        <v/>
      </c>
      <c r="BF108" s="560" t="str">
        <f t="shared" si="60"/>
        <v/>
      </c>
      <c r="BG108" s="560" t="str">
        <f t="shared" si="61"/>
        <v/>
      </c>
      <c r="BH108" s="560" t="str">
        <f t="shared" si="49"/>
        <v/>
      </c>
      <c r="BI108" s="560" t="str">
        <f t="shared" si="50"/>
        <v/>
      </c>
      <c r="BK108" s="27"/>
      <c r="BL108" s="607" t="str">
        <f t="shared" si="62"/>
        <v/>
      </c>
      <c r="BM108" s="607" t="str">
        <f t="shared" si="63"/>
        <v/>
      </c>
      <c r="BN108" s="607" t="str">
        <f t="shared" si="64"/>
        <v/>
      </c>
      <c r="BO108" s="608" t="str">
        <f>IF(BM108="","",ROUNDDOWN(L108*VLOOKUP(K108,【参考】数式用!$A$4:$J$42,10,FALSE)*AA108,0))</f>
        <v/>
      </c>
      <c r="BP108" s="607" t="str">
        <f t="shared" si="65"/>
        <v/>
      </c>
      <c r="BQ108" s="607" t="str">
        <f t="shared" si="66"/>
        <v/>
      </c>
      <c r="BR108" s="609" t="str">
        <f t="shared" si="67"/>
        <v/>
      </c>
      <c r="BS108" s="609" t="str">
        <f t="shared" si="68"/>
        <v/>
      </c>
      <c r="BT108" s="607" t="str">
        <f t="shared" si="69"/>
        <v/>
      </c>
      <c r="BU108" s="608" t="str">
        <f>IF(BT108="Ⅱロ有り",ROUNDDOWN(L108*VLOOKUP(K108,【参考】数式用!$A$4:$J$42,10,FALSE)*AA108,0),"")</f>
        <v/>
      </c>
      <c r="BV108" s="607" t="str">
        <f>IF(BT108="Ⅱロなし",ROUNDDOWN(L108*VLOOKUP(K108,【参考】数式用!$A$4:$J$42,8,FALSE)*AA108,0),"")</f>
        <v/>
      </c>
    </row>
    <row r="109" spans="1:74" ht="109.9" customHeight="1" thickBot="1">
      <c r="A109" s="303">
        <v>96</v>
      </c>
      <c r="B109" s="956" t="str">
        <f>IF(基本情報入力シート!B131="","",基本情報入力シート!B131)</f>
        <v/>
      </c>
      <c r="C109" s="957"/>
      <c r="D109" s="957"/>
      <c r="E109" s="957"/>
      <c r="F109" s="958"/>
      <c r="G109" s="304" t="str">
        <f>IF(基本情報入力シート!L131="", "", 基本情報入力シート!L131)</f>
        <v/>
      </c>
      <c r="H109" s="304" t="str">
        <f>IF(基本情報入力シート!Q131="", "", 基本情報入力シート!Q131)</f>
        <v/>
      </c>
      <c r="I109" s="304" t="str">
        <f>IF(基本情報入力シート!V131="", "", 基本情報入力シート!V131)</f>
        <v/>
      </c>
      <c r="J109" s="304" t="str">
        <f>IF(基本情報入力シート!W131="", "", 基本情報入力シート!W131)</f>
        <v/>
      </c>
      <c r="K109" s="304" t="str">
        <f>IF(基本情報入力シート!Z131="", "", 基本情報入力シート!Z131)</f>
        <v/>
      </c>
      <c r="L109" s="558" t="str">
        <f>IF(基本情報入力シート!AF131=0, "",基本情報入力シート!AF131)</f>
        <v/>
      </c>
      <c r="M109" s="524" t="str">
        <f>IF('別紙様式2-2（個票（４、５月））'!M109="","",'別紙様式2-2（個票（４、５月））'!M109)</f>
        <v/>
      </c>
      <c r="N109" s="523" t="str">
        <f>IF('別紙様式2-2（個票（４、５月））'!N109="","",'別紙様式2-2（個票（４、５月））'!N109)</f>
        <v/>
      </c>
      <c r="O109" s="286"/>
      <c r="P109" s="555" t="str">
        <f>IFERROR(VLOOKUP(K109,【参考】数式用!$A$2:$M$57,MATCH(O109,【参考】数式用!$G$3:$M$3,0)+6,0),"")</f>
        <v/>
      </c>
      <c r="Q109" s="310" t="s">
        <v>118</v>
      </c>
      <c r="R109" s="308"/>
      <c r="S109" s="309" t="s">
        <v>183</v>
      </c>
      <c r="T109" s="308"/>
      <c r="U109" s="309" t="s">
        <v>184</v>
      </c>
      <c r="V109" s="308"/>
      <c r="W109" s="309" t="s">
        <v>183</v>
      </c>
      <c r="X109" s="308"/>
      <c r="Y109" s="309" t="s">
        <v>185</v>
      </c>
      <c r="Z109" s="309" t="s">
        <v>186</v>
      </c>
      <c r="AA109" s="309" t="str">
        <f t="shared" si="71"/>
        <v/>
      </c>
      <c r="AB109" s="305" t="s">
        <v>187</v>
      </c>
      <c r="AC109" s="306" t="str">
        <f t="shared" si="51"/>
        <v/>
      </c>
      <c r="AD109" s="515" t="str">
        <f t="shared" si="52"/>
        <v/>
      </c>
      <c r="AE109" s="307" t="str">
        <f>IFERROR(ROUNDDOWN(ROUNDDOWN(ROUND(L109*VLOOKUP(K109,【参考】数式用!$A$2:$M$57,MATCH("処遇改善加算Ⅳ",【参考】数式用!$G$3:$M$3,0)+6,0),0),0)*AA109*0.5,0), "")</f>
        <v/>
      </c>
      <c r="AF109" s="318"/>
      <c r="AG109" s="319"/>
      <c r="AH109" s="319"/>
      <c r="AI109" s="318"/>
      <c r="AJ109" s="320"/>
      <c r="AK109" s="326"/>
      <c r="AL109" s="324" t="str">
        <f t="shared" ref="AL109:AL113" si="72">IF(AND(O109&lt;&gt;"", OR(V109&lt;&gt;9,X109&lt;&gt;3)),"！算定期間の終わりが令和９年３月になっていません。６月以降、年度の途中で加算区分を変更する場合は、基本情報入力シートに対象となる事業所の行を追加し、このシートに記入してください。その際、４，５月分シートでは同一事業所について複数回記入しないように注意してください。",
 IF(AND(AO109="加算対象外",O109&lt;&gt;"",AG109="―",AK109="―"),"このサービスについては、キャリアパス要件Ⅰ・Ⅱか令和８年度特例要件のどちらかの要件を満たしている必要があります",""))</f>
        <v/>
      </c>
      <c r="AM109" s="325" t="str">
        <f t="shared" si="53"/>
        <v/>
      </c>
      <c r="AN109" s="255"/>
      <c r="AO109" s="557" t="str">
        <f>IFERROR(VLOOKUP(K109,【参考】数式用!$A$2:$N$57,14,FALSE),"")</f>
        <v/>
      </c>
      <c r="AP109" s="557" t="str">
        <f t="shared" si="54"/>
        <v/>
      </c>
      <c r="AQ109" s="561" t="str">
        <f t="shared" si="42"/>
        <v/>
      </c>
      <c r="AR109" s="561" t="str">
        <f t="shared" si="70"/>
        <v>キャリアパス要件Ⅰ・Ⅱ_</v>
      </c>
      <c r="AS109" s="540" t="str">
        <f t="shared" si="43"/>
        <v>入力済</v>
      </c>
      <c r="AT109" s="557" t="str">
        <f t="shared" si="55"/>
        <v/>
      </c>
      <c r="AU109" s="540" t="str">
        <f t="shared" si="44"/>
        <v>入力済</v>
      </c>
      <c r="AV109" s="540" t="str">
        <f t="shared" si="45"/>
        <v/>
      </c>
      <c r="AW109" s="576" t="str">
        <f t="shared" si="56"/>
        <v/>
      </c>
      <c r="AX109" s="557" t="str">
        <f t="shared" ref="AX109:AX113" si="73">IF(AND(AW109=1, OR(AI109=0,AI109=""),AO109="加算対象"),"AH列に色付け","")</f>
        <v/>
      </c>
      <c r="AY109" s="540" t="str">
        <f>IFERROR(VLOOKUP(K109,【参考】数式用!$AR$3:$AS$49, 2, FALSE), "")</f>
        <v/>
      </c>
      <c r="AZ109" s="557" t="str">
        <f t="shared" si="57"/>
        <v/>
      </c>
      <c r="BA109" s="560" t="str">
        <f t="shared" si="47"/>
        <v>入力済</v>
      </c>
      <c r="BB109" s="540" t="str">
        <f>IFERROR(VLOOKUP(K109,【参考】数式用!$AX$3:$AY$59, 2, FALSE), "")</f>
        <v/>
      </c>
      <c r="BC109" s="557" t="str">
        <f t="shared" si="58"/>
        <v/>
      </c>
      <c r="BD109" s="560" t="str">
        <f t="shared" si="48"/>
        <v>入力済</v>
      </c>
      <c r="BE109" s="560" t="str">
        <f t="shared" si="59"/>
        <v/>
      </c>
      <c r="BF109" s="560" t="str">
        <f t="shared" si="60"/>
        <v/>
      </c>
      <c r="BG109" s="560" t="str">
        <f t="shared" si="61"/>
        <v/>
      </c>
      <c r="BH109" s="560" t="str">
        <f t="shared" ref="BH109:BH113" si="74">IF(AND(BE109="",BG109="入力必要"),IF(AK109="","未入力","入力済"),"")</f>
        <v/>
      </c>
      <c r="BI109" s="560" t="str">
        <f t="shared" si="50"/>
        <v/>
      </c>
      <c r="BK109" s="27"/>
      <c r="BL109" s="607" t="str">
        <f t="shared" si="62"/>
        <v/>
      </c>
      <c r="BM109" s="607" t="str">
        <f t="shared" si="63"/>
        <v/>
      </c>
      <c r="BN109" s="607" t="str">
        <f t="shared" si="64"/>
        <v/>
      </c>
      <c r="BO109" s="608" t="str">
        <f>IF(BM109="","",ROUNDDOWN(L109*VLOOKUP(K109,【参考】数式用!$A$4:$J$42,10,FALSE)*AA109,0))</f>
        <v/>
      </c>
      <c r="BP109" s="607" t="str">
        <f t="shared" si="65"/>
        <v/>
      </c>
      <c r="BQ109" s="607" t="str">
        <f t="shared" si="66"/>
        <v/>
      </c>
      <c r="BR109" s="609" t="str">
        <f t="shared" si="67"/>
        <v/>
      </c>
      <c r="BS109" s="609" t="str">
        <f t="shared" si="68"/>
        <v/>
      </c>
      <c r="BT109" s="607" t="str">
        <f t="shared" si="69"/>
        <v/>
      </c>
      <c r="BU109" s="608" t="str">
        <f>IF(BT109="Ⅱロ有り",ROUNDDOWN(L109*VLOOKUP(K109,【参考】数式用!$A$4:$J$42,10,FALSE)*AA109,0),"")</f>
        <v/>
      </c>
      <c r="BV109" s="607" t="str">
        <f>IF(BT109="Ⅱロなし",ROUNDDOWN(L109*VLOOKUP(K109,【参考】数式用!$A$4:$J$42,8,FALSE)*AA109,0),"")</f>
        <v/>
      </c>
    </row>
    <row r="110" spans="1:74" ht="109.9" customHeight="1" thickBot="1">
      <c r="A110" s="303">
        <v>97</v>
      </c>
      <c r="B110" s="956" t="str">
        <f>IF(基本情報入力シート!B132="","",基本情報入力シート!B132)</f>
        <v/>
      </c>
      <c r="C110" s="957"/>
      <c r="D110" s="957"/>
      <c r="E110" s="957"/>
      <c r="F110" s="958"/>
      <c r="G110" s="304" t="str">
        <f>IF(基本情報入力シート!L132="", "", 基本情報入力シート!L132)</f>
        <v/>
      </c>
      <c r="H110" s="304" t="str">
        <f>IF(基本情報入力シート!Q132="", "", 基本情報入力シート!Q132)</f>
        <v/>
      </c>
      <c r="I110" s="304" t="str">
        <f>IF(基本情報入力シート!V132="", "", 基本情報入力シート!V132)</f>
        <v/>
      </c>
      <c r="J110" s="304" t="str">
        <f>IF(基本情報入力シート!W132="", "", 基本情報入力シート!W132)</f>
        <v/>
      </c>
      <c r="K110" s="304" t="str">
        <f>IF(基本情報入力シート!Z132="", "", 基本情報入力シート!Z132)</f>
        <v/>
      </c>
      <c r="L110" s="558" t="str">
        <f>IF(基本情報入力シート!AF132=0, "",基本情報入力シート!AF132)</f>
        <v/>
      </c>
      <c r="M110" s="524" t="str">
        <f>IF('別紙様式2-2（個票（４、５月））'!M110="","",'別紙様式2-2（個票（４、５月））'!M110)</f>
        <v/>
      </c>
      <c r="N110" s="523" t="str">
        <f>IF('別紙様式2-2（個票（４、５月））'!N110="","",'別紙様式2-2（個票（４、５月））'!N110)</f>
        <v/>
      </c>
      <c r="O110" s="286"/>
      <c r="P110" s="555" t="str">
        <f>IFERROR(VLOOKUP(K110,【参考】数式用!$A$2:$M$57,MATCH(O110,【参考】数式用!$G$3:$M$3,0)+6,0),"")</f>
        <v/>
      </c>
      <c r="Q110" s="310" t="s">
        <v>118</v>
      </c>
      <c r="R110" s="308"/>
      <c r="S110" s="309" t="s">
        <v>183</v>
      </c>
      <c r="T110" s="308"/>
      <c r="U110" s="309" t="s">
        <v>184</v>
      </c>
      <c r="V110" s="308"/>
      <c r="W110" s="309" t="s">
        <v>183</v>
      </c>
      <c r="X110" s="308"/>
      <c r="Y110" s="309" t="s">
        <v>185</v>
      </c>
      <c r="Z110" s="309" t="s">
        <v>186</v>
      </c>
      <c r="AA110" s="309" t="str">
        <f t="shared" si="71"/>
        <v/>
      </c>
      <c r="AB110" s="305" t="s">
        <v>187</v>
      </c>
      <c r="AC110" s="306" t="str">
        <f t="shared" si="51"/>
        <v/>
      </c>
      <c r="AD110" s="515" t="str">
        <f t="shared" si="52"/>
        <v/>
      </c>
      <c r="AE110" s="307" t="str">
        <f>IFERROR(ROUNDDOWN(ROUNDDOWN(ROUND(L110*VLOOKUP(K110,【参考】数式用!$A$2:$M$57,MATCH("処遇改善加算Ⅳ",【参考】数式用!$G$3:$M$3,0)+6,0),0),0)*AA110*0.5,0), "")</f>
        <v/>
      </c>
      <c r="AF110" s="318"/>
      <c r="AG110" s="319"/>
      <c r="AH110" s="319"/>
      <c r="AI110" s="318"/>
      <c r="AJ110" s="320"/>
      <c r="AK110" s="326"/>
      <c r="AL110" s="324" t="str">
        <f t="shared" si="72"/>
        <v/>
      </c>
      <c r="AM110" s="325" t="str">
        <f t="shared" si="53"/>
        <v/>
      </c>
      <c r="AN110" s="255"/>
      <c r="AO110" s="557" t="str">
        <f>IFERROR(VLOOKUP(K110,【参考】数式用!$A$2:$N$57,14,FALSE),"")</f>
        <v/>
      </c>
      <c r="AP110" s="557" t="str">
        <f t="shared" si="54"/>
        <v/>
      </c>
      <c r="AQ110" s="561" t="str">
        <f t="shared" si="42"/>
        <v/>
      </c>
      <c r="AR110" s="561" t="str">
        <f t="shared" si="70"/>
        <v>キャリアパス要件Ⅰ・Ⅱ_</v>
      </c>
      <c r="AS110" s="540" t="str">
        <f t="shared" si="43"/>
        <v>入力済</v>
      </c>
      <c r="AT110" s="557" t="str">
        <f t="shared" si="55"/>
        <v/>
      </c>
      <c r="AU110" s="540" t="str">
        <f t="shared" si="44"/>
        <v>入力済</v>
      </c>
      <c r="AV110" s="540" t="str">
        <f t="shared" si="45"/>
        <v/>
      </c>
      <c r="AW110" s="576" t="str">
        <f t="shared" si="56"/>
        <v/>
      </c>
      <c r="AX110" s="557" t="str">
        <f t="shared" si="73"/>
        <v/>
      </c>
      <c r="AY110" s="540" t="str">
        <f>IFERROR(VLOOKUP(K110,【参考】数式用!$AR$3:$AS$49, 2, FALSE), "")</f>
        <v/>
      </c>
      <c r="AZ110" s="557" t="str">
        <f t="shared" si="57"/>
        <v/>
      </c>
      <c r="BA110" s="560" t="str">
        <f t="shared" si="47"/>
        <v>入力済</v>
      </c>
      <c r="BB110" s="540" t="str">
        <f>IFERROR(VLOOKUP(K110,【参考】数式用!$AX$3:$AY$59, 2, FALSE), "")</f>
        <v/>
      </c>
      <c r="BC110" s="557" t="str">
        <f t="shared" si="58"/>
        <v/>
      </c>
      <c r="BD110" s="560" t="str">
        <f t="shared" si="48"/>
        <v>入力済</v>
      </c>
      <c r="BE110" s="560" t="str">
        <f t="shared" si="59"/>
        <v/>
      </c>
      <c r="BF110" s="560" t="str">
        <f t="shared" si="60"/>
        <v/>
      </c>
      <c r="BG110" s="560" t="str">
        <f t="shared" si="61"/>
        <v/>
      </c>
      <c r="BH110" s="560" t="str">
        <f t="shared" si="74"/>
        <v/>
      </c>
      <c r="BI110" s="560" t="str">
        <f t="shared" si="50"/>
        <v/>
      </c>
      <c r="BK110" s="27"/>
      <c r="BL110" s="607" t="str">
        <f t="shared" si="62"/>
        <v/>
      </c>
      <c r="BM110" s="607" t="str">
        <f t="shared" si="63"/>
        <v/>
      </c>
      <c r="BN110" s="607" t="str">
        <f t="shared" si="64"/>
        <v/>
      </c>
      <c r="BO110" s="608" t="str">
        <f>IF(BM110="","",ROUNDDOWN(L110*VLOOKUP(K110,【参考】数式用!$A$4:$J$42,10,FALSE)*AA110,0))</f>
        <v/>
      </c>
      <c r="BP110" s="607" t="str">
        <f t="shared" si="65"/>
        <v/>
      </c>
      <c r="BQ110" s="607" t="str">
        <f t="shared" si="66"/>
        <v/>
      </c>
      <c r="BR110" s="609" t="str">
        <f t="shared" si="67"/>
        <v/>
      </c>
      <c r="BS110" s="609" t="str">
        <f t="shared" si="68"/>
        <v/>
      </c>
      <c r="BT110" s="607" t="str">
        <f t="shared" si="69"/>
        <v/>
      </c>
      <c r="BU110" s="608" t="str">
        <f>IF(BT110="Ⅱロ有り",ROUNDDOWN(L110*VLOOKUP(K110,【参考】数式用!$A$4:$J$42,10,FALSE)*AA110,0),"")</f>
        <v/>
      </c>
      <c r="BV110" s="607" t="str">
        <f>IF(BT110="Ⅱロなし",ROUNDDOWN(L110*VLOOKUP(K110,【参考】数式用!$A$4:$J$42,8,FALSE)*AA110,0),"")</f>
        <v/>
      </c>
    </row>
    <row r="111" spans="1:74" ht="109.9" customHeight="1" thickBot="1">
      <c r="A111" s="303">
        <v>98</v>
      </c>
      <c r="B111" s="956" t="str">
        <f>IF(基本情報入力シート!B133="","",基本情報入力シート!B133)</f>
        <v/>
      </c>
      <c r="C111" s="957"/>
      <c r="D111" s="957"/>
      <c r="E111" s="957"/>
      <c r="F111" s="958"/>
      <c r="G111" s="304" t="str">
        <f>IF(基本情報入力シート!L133="", "", 基本情報入力シート!L133)</f>
        <v/>
      </c>
      <c r="H111" s="304" t="str">
        <f>IF(基本情報入力シート!Q133="", "", 基本情報入力シート!Q133)</f>
        <v/>
      </c>
      <c r="I111" s="304" t="str">
        <f>IF(基本情報入力シート!V133="", "", 基本情報入力シート!V133)</f>
        <v/>
      </c>
      <c r="J111" s="304" t="str">
        <f>IF(基本情報入力シート!W133="", "", 基本情報入力シート!W133)</f>
        <v/>
      </c>
      <c r="K111" s="304" t="str">
        <f>IF(基本情報入力シート!Z133="", "", 基本情報入力シート!Z133)</f>
        <v/>
      </c>
      <c r="L111" s="558" t="str">
        <f>IF(基本情報入力シート!AF133=0, "",基本情報入力シート!AF133)</f>
        <v/>
      </c>
      <c r="M111" s="524" t="str">
        <f>IF('別紙様式2-2（個票（４、５月））'!M111="","",'別紙様式2-2（個票（４、５月））'!M111)</f>
        <v/>
      </c>
      <c r="N111" s="523" t="str">
        <f>IF('別紙様式2-2（個票（４、５月））'!N111="","",'別紙様式2-2（個票（４、５月））'!N111)</f>
        <v/>
      </c>
      <c r="O111" s="286"/>
      <c r="P111" s="555" t="str">
        <f>IFERROR(VLOOKUP(K111,【参考】数式用!$A$2:$M$57,MATCH(O111,【参考】数式用!$G$3:$M$3,0)+6,0),"")</f>
        <v/>
      </c>
      <c r="Q111" s="310" t="s">
        <v>118</v>
      </c>
      <c r="R111" s="308"/>
      <c r="S111" s="309" t="s">
        <v>183</v>
      </c>
      <c r="T111" s="308"/>
      <c r="U111" s="309" t="s">
        <v>184</v>
      </c>
      <c r="V111" s="308"/>
      <c r="W111" s="309" t="s">
        <v>183</v>
      </c>
      <c r="X111" s="308"/>
      <c r="Y111" s="309" t="s">
        <v>185</v>
      </c>
      <c r="Z111" s="309" t="s">
        <v>186</v>
      </c>
      <c r="AA111" s="309" t="str">
        <f t="shared" si="71"/>
        <v/>
      </c>
      <c r="AB111" s="305" t="s">
        <v>187</v>
      </c>
      <c r="AC111" s="306" t="str">
        <f t="shared" si="51"/>
        <v/>
      </c>
      <c r="AD111" s="515" t="str">
        <f t="shared" si="52"/>
        <v/>
      </c>
      <c r="AE111" s="307" t="str">
        <f>IFERROR(ROUNDDOWN(ROUNDDOWN(ROUND(L111*VLOOKUP(K111,【参考】数式用!$A$2:$M$57,MATCH("処遇改善加算Ⅳ",【参考】数式用!$G$3:$M$3,0)+6,0),0),0)*AA111*0.5,0), "")</f>
        <v/>
      </c>
      <c r="AF111" s="318"/>
      <c r="AG111" s="319"/>
      <c r="AH111" s="319"/>
      <c r="AI111" s="318"/>
      <c r="AJ111" s="320"/>
      <c r="AK111" s="326"/>
      <c r="AL111" s="324" t="str">
        <f t="shared" si="72"/>
        <v/>
      </c>
      <c r="AM111" s="325" t="str">
        <f t="shared" si="53"/>
        <v/>
      </c>
      <c r="AN111" s="255"/>
      <c r="AO111" s="557" t="str">
        <f>IFERROR(VLOOKUP(K111,【参考】数式用!$A$2:$N$57,14,FALSE),"")</f>
        <v/>
      </c>
      <c r="AP111" s="557" t="str">
        <f t="shared" si="54"/>
        <v/>
      </c>
      <c r="AQ111" s="561" t="str">
        <f t="shared" si="42"/>
        <v/>
      </c>
      <c r="AR111" s="561" t="str">
        <f t="shared" si="70"/>
        <v>キャリアパス要件Ⅰ・Ⅱ_</v>
      </c>
      <c r="AS111" s="540" t="str">
        <f t="shared" si="43"/>
        <v>入力済</v>
      </c>
      <c r="AT111" s="557" t="str">
        <f t="shared" si="55"/>
        <v/>
      </c>
      <c r="AU111" s="540" t="str">
        <f t="shared" si="44"/>
        <v>入力済</v>
      </c>
      <c r="AV111" s="540" t="str">
        <f t="shared" si="45"/>
        <v/>
      </c>
      <c r="AW111" s="576" t="str">
        <f t="shared" si="56"/>
        <v/>
      </c>
      <c r="AX111" s="557" t="str">
        <f t="shared" si="73"/>
        <v/>
      </c>
      <c r="AY111" s="540" t="str">
        <f>IFERROR(VLOOKUP(K111,【参考】数式用!$AR$3:$AS$49, 2, FALSE), "")</f>
        <v/>
      </c>
      <c r="AZ111" s="557" t="str">
        <f t="shared" si="57"/>
        <v/>
      </c>
      <c r="BA111" s="560" t="str">
        <f t="shared" si="47"/>
        <v>入力済</v>
      </c>
      <c r="BB111" s="540" t="str">
        <f>IFERROR(VLOOKUP(K111,【参考】数式用!$AX$3:$AY$59, 2, FALSE), "")</f>
        <v/>
      </c>
      <c r="BC111" s="557" t="str">
        <f t="shared" si="58"/>
        <v/>
      </c>
      <c r="BD111" s="560" t="str">
        <f t="shared" si="48"/>
        <v>入力済</v>
      </c>
      <c r="BE111" s="560" t="str">
        <f t="shared" si="59"/>
        <v/>
      </c>
      <c r="BF111" s="560" t="str">
        <f t="shared" si="60"/>
        <v/>
      </c>
      <c r="BG111" s="560" t="str">
        <f t="shared" si="61"/>
        <v/>
      </c>
      <c r="BH111" s="560" t="str">
        <f t="shared" si="74"/>
        <v/>
      </c>
      <c r="BI111" s="560" t="str">
        <f t="shared" si="50"/>
        <v/>
      </c>
      <c r="BK111" s="27"/>
      <c r="BL111" s="607" t="str">
        <f t="shared" si="62"/>
        <v/>
      </c>
      <c r="BM111" s="607" t="str">
        <f t="shared" si="63"/>
        <v/>
      </c>
      <c r="BN111" s="607" t="str">
        <f t="shared" si="64"/>
        <v/>
      </c>
      <c r="BO111" s="608" t="str">
        <f>IF(BM111="","",ROUNDDOWN(L111*VLOOKUP(K111,【参考】数式用!$A$4:$J$42,10,FALSE)*AA111,0))</f>
        <v/>
      </c>
      <c r="BP111" s="607" t="str">
        <f t="shared" si="65"/>
        <v/>
      </c>
      <c r="BQ111" s="607" t="str">
        <f t="shared" si="66"/>
        <v/>
      </c>
      <c r="BR111" s="609" t="str">
        <f t="shared" si="67"/>
        <v/>
      </c>
      <c r="BS111" s="609" t="str">
        <f t="shared" si="68"/>
        <v/>
      </c>
      <c r="BT111" s="607" t="str">
        <f t="shared" si="69"/>
        <v/>
      </c>
      <c r="BU111" s="608" t="str">
        <f>IF(BT111="Ⅱロ有り",ROUNDDOWN(L111*VLOOKUP(K111,【参考】数式用!$A$4:$J$42,10,FALSE)*AA111,0),"")</f>
        <v/>
      </c>
      <c r="BV111" s="607" t="str">
        <f>IF(BT111="Ⅱロなし",ROUNDDOWN(L111*VLOOKUP(K111,【参考】数式用!$A$4:$J$42,8,FALSE)*AA111,0),"")</f>
        <v/>
      </c>
    </row>
    <row r="112" spans="1:74" ht="109.9" customHeight="1" thickBot="1">
      <c r="A112" s="333">
        <v>99</v>
      </c>
      <c r="B112" s="959" t="str">
        <f>IF(基本情報入力シート!B134="","",基本情報入力シート!B134)</f>
        <v/>
      </c>
      <c r="C112" s="960"/>
      <c r="D112" s="960"/>
      <c r="E112" s="960"/>
      <c r="F112" s="961"/>
      <c r="G112" s="334" t="str">
        <f>IF(基本情報入力シート!L134="", "", 基本情報入力シート!L134)</f>
        <v/>
      </c>
      <c r="H112" s="334" t="str">
        <f>IF(基本情報入力シート!Q134="", "", 基本情報入力シート!Q134)</f>
        <v/>
      </c>
      <c r="I112" s="334" t="str">
        <f>IF(基本情報入力シート!V134="", "", 基本情報入力シート!V134)</f>
        <v/>
      </c>
      <c r="J112" s="334" t="str">
        <f>IF(基本情報入力シート!W134="", "", 基本情報入力シート!W134)</f>
        <v/>
      </c>
      <c r="K112" s="334" t="str">
        <f>IF(基本情報入力シート!Z134="", "", 基本情報入力シート!Z134)</f>
        <v/>
      </c>
      <c r="L112" s="335" t="str">
        <f>IF(基本情報入力シート!AF134=0, "",基本情報入力シート!AF134)</f>
        <v/>
      </c>
      <c r="M112" s="524" t="str">
        <f>IF('別紙様式2-2（個票（４、５月））'!M112="","",'別紙様式2-2（個票（４、５月））'!M112)</f>
        <v/>
      </c>
      <c r="N112" s="523" t="str">
        <f>IF('別紙様式2-2（個票（４、５月））'!N112="","",'別紙様式2-2（個票（４、５月））'!N112)</f>
        <v/>
      </c>
      <c r="O112" s="286"/>
      <c r="P112" s="555" t="str">
        <f>IFERROR(VLOOKUP(K112,【参考】数式用!$A$2:$M$57,MATCH(O112,【参考】数式用!$G$3:$M$3,0)+6,0),"")</f>
        <v/>
      </c>
      <c r="Q112" s="338" t="s">
        <v>118</v>
      </c>
      <c r="R112" s="339"/>
      <c r="S112" s="340" t="s">
        <v>183</v>
      </c>
      <c r="T112" s="339"/>
      <c r="U112" s="340" t="s">
        <v>184</v>
      </c>
      <c r="V112" s="339"/>
      <c r="W112" s="340" t="s">
        <v>183</v>
      </c>
      <c r="X112" s="339"/>
      <c r="Y112" s="340" t="s">
        <v>120</v>
      </c>
      <c r="Z112" s="340" t="s">
        <v>186</v>
      </c>
      <c r="AA112" s="340" t="str">
        <f t="shared" si="71"/>
        <v/>
      </c>
      <c r="AB112" s="341" t="s">
        <v>187</v>
      </c>
      <c r="AC112" s="306" t="str">
        <f t="shared" si="51"/>
        <v/>
      </c>
      <c r="AD112" s="515" t="str">
        <f t="shared" si="52"/>
        <v/>
      </c>
      <c r="AE112" s="307" t="str">
        <f>IFERROR(ROUNDDOWN(ROUNDDOWN(ROUND(L112*VLOOKUP(K112,【参考】数式用!$A$2:$M$57,MATCH("処遇改善加算Ⅳ",【参考】数式用!$G$3:$M$3,0)+6,0),0),0)*AA112*0.5,0), "")</f>
        <v/>
      </c>
      <c r="AF112" s="318"/>
      <c r="AG112" s="319"/>
      <c r="AH112" s="319"/>
      <c r="AI112" s="318"/>
      <c r="AJ112" s="320"/>
      <c r="AK112" s="326"/>
      <c r="AL112" s="324" t="str">
        <f t="shared" si="72"/>
        <v/>
      </c>
      <c r="AM112" s="325" t="str">
        <f t="shared" si="53"/>
        <v/>
      </c>
      <c r="AN112" s="255"/>
      <c r="AO112" s="557" t="str">
        <f>IFERROR(VLOOKUP(K112,【参考】数式用!$A$2:$N$57,14,FALSE),"")</f>
        <v/>
      </c>
      <c r="AP112" s="557" t="str">
        <f t="shared" si="54"/>
        <v/>
      </c>
      <c r="AQ112" s="561" t="str">
        <f t="shared" si="42"/>
        <v/>
      </c>
      <c r="AR112" s="561" t="str">
        <f t="shared" si="70"/>
        <v>キャリアパス要件Ⅰ・Ⅱ_</v>
      </c>
      <c r="AS112" s="540" t="str">
        <f t="shared" si="43"/>
        <v>入力済</v>
      </c>
      <c r="AT112" s="557" t="str">
        <f t="shared" si="55"/>
        <v/>
      </c>
      <c r="AU112" s="540" t="str">
        <f t="shared" si="44"/>
        <v>入力済</v>
      </c>
      <c r="AV112" s="540" t="str">
        <f t="shared" si="45"/>
        <v/>
      </c>
      <c r="AW112" s="576" t="str">
        <f t="shared" si="56"/>
        <v/>
      </c>
      <c r="AX112" s="557" t="str">
        <f t="shared" si="73"/>
        <v/>
      </c>
      <c r="AY112" s="540" t="str">
        <f>IFERROR(VLOOKUP(K112,【参考】数式用!$AR$3:$AS$49, 2, FALSE), "")</f>
        <v/>
      </c>
      <c r="AZ112" s="557" t="str">
        <f t="shared" si="57"/>
        <v/>
      </c>
      <c r="BA112" s="560" t="str">
        <f t="shared" si="47"/>
        <v>入力済</v>
      </c>
      <c r="BB112" s="540" t="str">
        <f>IFERROR(VLOOKUP(K112,【参考】数式用!$AX$3:$AY$59, 2, FALSE), "")</f>
        <v/>
      </c>
      <c r="BC112" s="557" t="str">
        <f t="shared" si="58"/>
        <v/>
      </c>
      <c r="BD112" s="560" t="str">
        <f t="shared" si="48"/>
        <v>入力済</v>
      </c>
      <c r="BE112" s="560" t="str">
        <f t="shared" si="59"/>
        <v/>
      </c>
      <c r="BF112" s="560" t="str">
        <f t="shared" si="60"/>
        <v/>
      </c>
      <c r="BG112" s="560" t="str">
        <f t="shared" si="61"/>
        <v/>
      </c>
      <c r="BH112" s="560" t="str">
        <f t="shared" si="74"/>
        <v/>
      </c>
      <c r="BI112" s="560" t="str">
        <f t="shared" si="50"/>
        <v/>
      </c>
      <c r="BK112" s="27"/>
      <c r="BL112" s="607" t="str">
        <f t="shared" si="62"/>
        <v/>
      </c>
      <c r="BM112" s="607" t="str">
        <f t="shared" si="63"/>
        <v/>
      </c>
      <c r="BN112" s="607" t="str">
        <f t="shared" si="64"/>
        <v/>
      </c>
      <c r="BO112" s="608" t="str">
        <f>IF(BM112="","",ROUNDDOWN(L112*VLOOKUP(K112,【参考】数式用!$A$4:$J$42,10,FALSE)*AA112,0))</f>
        <v/>
      </c>
      <c r="BP112" s="607" t="str">
        <f t="shared" si="65"/>
        <v/>
      </c>
      <c r="BQ112" s="607" t="str">
        <f t="shared" si="66"/>
        <v/>
      </c>
      <c r="BR112" s="609" t="str">
        <f t="shared" si="67"/>
        <v/>
      </c>
      <c r="BS112" s="609" t="str">
        <f t="shared" si="68"/>
        <v/>
      </c>
      <c r="BT112" s="607" t="str">
        <f t="shared" si="69"/>
        <v/>
      </c>
      <c r="BU112" s="608" t="str">
        <f>IF(BT112="Ⅱロ有り",ROUNDDOWN(L112*VLOOKUP(K112,【参考】数式用!$A$4:$J$42,10,FALSE)*AA112,0),"")</f>
        <v/>
      </c>
      <c r="BV112" s="607" t="str">
        <f>IF(BT112="Ⅱロなし",ROUNDDOWN(L112*VLOOKUP(K112,【参考】数式用!$A$4:$J$42,8,FALSE)*AA112,0),"")</f>
        <v/>
      </c>
    </row>
    <row r="113" spans="1:74" ht="109.9" customHeight="1" thickBot="1">
      <c r="A113" s="333">
        <v>100</v>
      </c>
      <c r="B113" s="959" t="str">
        <f>IF(基本情報入力シート!B135="","",基本情報入力シート!B135)</f>
        <v/>
      </c>
      <c r="C113" s="960"/>
      <c r="D113" s="960"/>
      <c r="E113" s="960"/>
      <c r="F113" s="961"/>
      <c r="G113" s="334" t="str">
        <f>IF(基本情報入力シート!L135="", "", 基本情報入力シート!L135)</f>
        <v/>
      </c>
      <c r="H113" s="334" t="str">
        <f>IF(基本情報入力シート!Q135="", "", 基本情報入力シート!Q135)</f>
        <v/>
      </c>
      <c r="I113" s="334" t="str">
        <f>IF(基本情報入力シート!V135="", "", 基本情報入力シート!V135)</f>
        <v/>
      </c>
      <c r="J113" s="334" t="str">
        <f>IF(基本情報入力シート!W135="", "", 基本情報入力シート!W135)</f>
        <v/>
      </c>
      <c r="K113" s="334" t="str">
        <f>IF(基本情報入力シート!Z135="", "", 基本情報入力シート!Z135)</f>
        <v/>
      </c>
      <c r="L113" s="335" t="str">
        <f>IF(基本情報入力シート!AF135=0, "",基本情報入力シート!AF135)</f>
        <v/>
      </c>
      <c r="M113" s="525" t="str">
        <f>IF('別紙様式2-2（個票（４、５月））'!M113="","",'別紙様式2-2（個票（４、５月））'!M113)</f>
        <v/>
      </c>
      <c r="N113" s="585" t="str">
        <f>IF('別紙様式2-2（個票（４、５月））'!N113="","",'別紙様式2-2（個票（４、５月））'!N113)</f>
        <v/>
      </c>
      <c r="O113" s="336"/>
      <c r="P113" s="337" t="str">
        <f>IFERROR(VLOOKUP(K113,【参考】数式用!$A$2:$M$57,MATCH(O113,【参考】数式用!$G$3:$M$3,0)+6,0),"")</f>
        <v/>
      </c>
      <c r="Q113" s="338" t="s">
        <v>118</v>
      </c>
      <c r="R113" s="339"/>
      <c r="S113" s="340" t="s">
        <v>183</v>
      </c>
      <c r="T113" s="339"/>
      <c r="U113" s="340" t="s">
        <v>184</v>
      </c>
      <c r="V113" s="339"/>
      <c r="W113" s="340" t="s">
        <v>183</v>
      </c>
      <c r="X113" s="339"/>
      <c r="Y113" s="340" t="s">
        <v>185</v>
      </c>
      <c r="Z113" s="340" t="s">
        <v>186</v>
      </c>
      <c r="AA113" s="340" t="str">
        <f t="shared" si="71"/>
        <v/>
      </c>
      <c r="AB113" s="341" t="s">
        <v>187</v>
      </c>
      <c r="AC113" s="342" t="str">
        <f t="shared" si="51"/>
        <v/>
      </c>
      <c r="AD113" s="509" t="str">
        <f t="shared" si="52"/>
        <v/>
      </c>
      <c r="AE113" s="343" t="str">
        <f>IFERROR(ROUNDDOWN(ROUNDDOWN(ROUND(L113*VLOOKUP(K113,【参考】数式用!$A$2:$M$57,MATCH("処遇改善加算Ⅳ",【参考】数式用!$G$3:$M$3,0)+6,0),0),0)*AA113*0.5,0), "")</f>
        <v/>
      </c>
      <c r="AF113" s="344"/>
      <c r="AG113" s="345"/>
      <c r="AH113" s="345"/>
      <c r="AI113" s="344"/>
      <c r="AJ113" s="382"/>
      <c r="AK113" s="346"/>
      <c r="AL113" s="324" t="str">
        <f t="shared" si="72"/>
        <v/>
      </c>
      <c r="AM113" s="325" t="str">
        <f t="shared" si="53"/>
        <v/>
      </c>
      <c r="AN113" s="255"/>
      <c r="AO113" s="557" t="str">
        <f>IFERROR(VLOOKUP(K113,【参考】数式用!$A$2:$N$57,14,FALSE),"")</f>
        <v/>
      </c>
      <c r="AP113" s="557" t="str">
        <f t="shared" si="54"/>
        <v/>
      </c>
      <c r="AQ113" s="561" t="str">
        <f t="shared" si="42"/>
        <v/>
      </c>
      <c r="AR113" s="561" t="str">
        <f t="shared" si="70"/>
        <v>キャリアパス要件Ⅰ・Ⅱ_</v>
      </c>
      <c r="AS113" s="540" t="str">
        <f t="shared" si="43"/>
        <v>入力済</v>
      </c>
      <c r="AT113" s="557" t="str">
        <f t="shared" si="55"/>
        <v/>
      </c>
      <c r="AU113" s="540" t="str">
        <f t="shared" si="44"/>
        <v>入力済</v>
      </c>
      <c r="AV113" s="540" t="str">
        <f t="shared" si="45"/>
        <v/>
      </c>
      <c r="AW113" s="576" t="str">
        <f t="shared" si="56"/>
        <v/>
      </c>
      <c r="AX113" s="557" t="str">
        <f t="shared" si="73"/>
        <v/>
      </c>
      <c r="AY113" s="540" t="str">
        <f>IFERROR(VLOOKUP(K113,【参考】数式用!$AR$3:$AS$49, 2, FALSE), "")</f>
        <v/>
      </c>
      <c r="AZ113" s="557" t="str">
        <f t="shared" si="57"/>
        <v/>
      </c>
      <c r="BA113" s="560" t="str">
        <f t="shared" si="47"/>
        <v>入力済</v>
      </c>
      <c r="BB113" s="540" t="str">
        <f>IFERROR(VLOOKUP(K113,【参考】数式用!$AX$3:$AY$59, 2, FALSE), "")</f>
        <v/>
      </c>
      <c r="BC113" s="557" t="str">
        <f t="shared" si="58"/>
        <v/>
      </c>
      <c r="BD113" s="560" t="str">
        <f t="shared" si="48"/>
        <v>入力済</v>
      </c>
      <c r="BE113" s="560" t="str">
        <f t="shared" si="59"/>
        <v/>
      </c>
      <c r="BF113" s="560" t="str">
        <f t="shared" si="60"/>
        <v/>
      </c>
      <c r="BG113" s="560" t="str">
        <f t="shared" si="61"/>
        <v/>
      </c>
      <c r="BH113" s="560" t="str">
        <f t="shared" si="74"/>
        <v/>
      </c>
      <c r="BI113" s="560" t="str">
        <f t="shared" si="50"/>
        <v/>
      </c>
      <c r="BK113" s="27"/>
      <c r="BL113" s="607" t="str">
        <f t="shared" si="62"/>
        <v/>
      </c>
      <c r="BM113" s="607" t="str">
        <f t="shared" si="63"/>
        <v/>
      </c>
      <c r="BN113" s="607" t="str">
        <f t="shared" si="64"/>
        <v/>
      </c>
      <c r="BO113" s="608" t="str">
        <f>IF(BM113="","",ROUNDDOWN(L113*VLOOKUP(K113,【参考】数式用!$A$4:$J$42,10,FALSE)*AA113,0))</f>
        <v/>
      </c>
      <c r="BP113" s="607" t="str">
        <f t="shared" si="65"/>
        <v/>
      </c>
      <c r="BQ113" s="607" t="str">
        <f t="shared" si="66"/>
        <v/>
      </c>
      <c r="BR113" s="609" t="str">
        <f t="shared" si="67"/>
        <v/>
      </c>
      <c r="BS113" s="609" t="str">
        <f t="shared" si="68"/>
        <v/>
      </c>
      <c r="BT113" s="607" t="str">
        <f t="shared" si="69"/>
        <v/>
      </c>
      <c r="BU113" s="608" t="str">
        <f>IF(BT113="Ⅱロ有り",ROUNDDOWN(L113*VLOOKUP(K113,【参考】数式用!$A$4:$J$42,10,FALSE)*AA113,0),"")</f>
        <v/>
      </c>
      <c r="BV113" s="607" t="str">
        <f>IF(BT113="Ⅱロなし",ROUNDDOWN(L113*VLOOKUP(K113,【参考】数式用!$A$4:$J$42,8,FALSE)*AA113,0),"")</f>
        <v/>
      </c>
    </row>
    <row r="114" spans="1:74">
      <c r="AP114" s="557" t="str">
        <f t="shared" si="54"/>
        <v/>
      </c>
      <c r="BK114" s="27"/>
      <c r="BL114" s="607"/>
      <c r="BM114" s="607" t="str">
        <f t="shared" si="63"/>
        <v/>
      </c>
      <c r="BN114" s="607" t="str">
        <f t="shared" si="64"/>
        <v/>
      </c>
      <c r="BO114" s="608" t="str">
        <f>IF(BM114="","",ROUNDDOWN(L114*VLOOKUP(K114,【参考】数式用!$A$4:$J$42,10,FALSE)*AA114,0))</f>
        <v/>
      </c>
      <c r="BP114" s="607" t="str">
        <f t="shared" si="65"/>
        <v/>
      </c>
      <c r="BQ114" s="607"/>
      <c r="BR114" s="607"/>
      <c r="BS114" s="609" t="str">
        <f t="shared" si="68"/>
        <v/>
      </c>
      <c r="BT114" s="607" t="str">
        <f t="shared" si="69"/>
        <v/>
      </c>
      <c r="BU114" s="608" t="str">
        <f>IF(BT114="Ⅱロ有り",ROUNDDOWN(L114*VLOOKUP(K114,【参考】数式用!$A$4:$J$42,10,FALSE)*AA114,0),"")</f>
        <v/>
      </c>
      <c r="BV114" s="607" t="str">
        <f>IF(BT114="Ⅱロなし",ROUNDDOWN(L114*VLOOKUP(K114,【参考】数式用!$A$4:$J$42,8,FALSE)*AA114,0),"")</f>
        <v/>
      </c>
    </row>
    <row r="115" spans="1:74">
      <c r="BK115" s="27"/>
      <c r="BL115" s="27"/>
      <c r="BM115" s="27"/>
      <c r="BN115" s="27"/>
      <c r="BO115" s="602" t="str">
        <f>IF(BM115="","",ROUNDDOWN(L115*VLOOKUP(K115,【参考】数式用!$A$4:$J$42,10,FALSE)*AA115,0))</f>
        <v/>
      </c>
      <c r="BP115" s="27"/>
      <c r="BQ115" s="27"/>
      <c r="BR115" s="27"/>
      <c r="BS115" s="27"/>
      <c r="BT115" s="27"/>
      <c r="BU115" s="611"/>
      <c r="BV115" s="27"/>
    </row>
    <row r="116" spans="1:74">
      <c r="BK116" s="27"/>
      <c r="BL116" s="27"/>
      <c r="BM116" s="27"/>
      <c r="BN116" s="27"/>
      <c r="BO116" s="602"/>
      <c r="BP116" s="27"/>
      <c r="BQ116" s="27"/>
      <c r="BR116" s="27"/>
      <c r="BS116" s="27"/>
      <c r="BT116" s="27"/>
      <c r="BU116" s="611"/>
      <c r="BV116" s="27"/>
    </row>
    <row r="117" spans="1:74">
      <c r="BK117" s="27"/>
      <c r="BL117" s="27"/>
      <c r="BM117" s="27"/>
      <c r="BN117" s="27"/>
      <c r="BO117" s="602"/>
      <c r="BP117" s="27"/>
      <c r="BQ117" s="27"/>
      <c r="BR117" s="27"/>
      <c r="BS117" s="27"/>
      <c r="BT117" s="27"/>
      <c r="BU117" s="611"/>
      <c r="BV117" s="27"/>
    </row>
    <row r="118" spans="1:74">
      <c r="BK118" s="27"/>
      <c r="BL118" s="27"/>
      <c r="BM118" s="27"/>
      <c r="BN118" s="27"/>
      <c r="BO118" s="602"/>
      <c r="BP118" s="27"/>
      <c r="BQ118" s="27"/>
      <c r="BR118" s="27"/>
      <c r="BS118" s="27"/>
      <c r="BT118" s="27"/>
      <c r="BU118" s="611"/>
      <c r="BV118" s="27"/>
    </row>
    <row r="119" spans="1:74">
      <c r="BK119" s="27"/>
      <c r="BL119" s="27"/>
      <c r="BM119" s="27"/>
      <c r="BN119" s="27"/>
      <c r="BO119" s="602"/>
      <c r="BP119" s="27"/>
      <c r="BQ119" s="27"/>
      <c r="BR119" s="27"/>
      <c r="BS119" s="27"/>
      <c r="BT119" s="27"/>
      <c r="BU119" s="611"/>
      <c r="BV119" s="27"/>
    </row>
  </sheetData>
  <sheetProtection formatCells="0" formatColumns="0" formatRows="0" sort="0" autoFilter="0"/>
  <dataConsolidate/>
  <mergeCells count="144">
    <mergeCell ref="BQ11:BR11"/>
    <mergeCell ref="A3:C3"/>
    <mergeCell ref="D3:J3"/>
    <mergeCell ref="AG4:AK4"/>
    <mergeCell ref="A5:J5"/>
    <mergeCell ref="L5:M5"/>
    <mergeCell ref="N5:O5"/>
    <mergeCell ref="AG5:AJ5"/>
    <mergeCell ref="A8:J8"/>
    <mergeCell ref="K8:O8"/>
    <mergeCell ref="A9:L9"/>
    <mergeCell ref="AS9:AY9"/>
    <mergeCell ref="BA9:BI9"/>
    <mergeCell ref="BK9:BL9"/>
    <mergeCell ref="BP6:BQ6"/>
    <mergeCell ref="BR6:BU6"/>
    <mergeCell ref="B7:J7"/>
    <mergeCell ref="L7:M7"/>
    <mergeCell ref="N7:O7"/>
    <mergeCell ref="AG7:AJ7"/>
    <mergeCell ref="A6:J6"/>
    <mergeCell ref="L6:M6"/>
    <mergeCell ref="N6:O6"/>
    <mergeCell ref="AG6:AJ6"/>
    <mergeCell ref="AY6:BI6"/>
    <mergeCell ref="BJ6:BM6"/>
    <mergeCell ref="BM9:BP9"/>
    <mergeCell ref="AE10:AF10"/>
    <mergeCell ref="A11:A12"/>
    <mergeCell ref="B11:F12"/>
    <mergeCell ref="G11:G12"/>
    <mergeCell ref="H11:I11"/>
    <mergeCell ref="J11:J12"/>
    <mergeCell ref="K11:K12"/>
    <mergeCell ref="L11:L12"/>
    <mergeCell ref="AE11:AF11"/>
    <mergeCell ref="AL12:AM12"/>
    <mergeCell ref="B13:F13"/>
    <mergeCell ref="B14:F14"/>
    <mergeCell ref="B15:F15"/>
    <mergeCell ref="M11:N11"/>
    <mergeCell ref="O11:O12"/>
    <mergeCell ref="P11:P12"/>
    <mergeCell ref="Q11:AB12"/>
    <mergeCell ref="AC11:AC12"/>
    <mergeCell ref="AD11:AD12"/>
    <mergeCell ref="B22:F22"/>
    <mergeCell ref="B23:F23"/>
    <mergeCell ref="B24:F24"/>
    <mergeCell ref="B25:F25"/>
    <mergeCell ref="B26:F26"/>
    <mergeCell ref="B27:F27"/>
    <mergeCell ref="B16:F16"/>
    <mergeCell ref="B17:F17"/>
    <mergeCell ref="B18:F18"/>
    <mergeCell ref="B19:F19"/>
    <mergeCell ref="B20:F20"/>
    <mergeCell ref="B21:F21"/>
    <mergeCell ref="B34:F34"/>
    <mergeCell ref="B35:F35"/>
    <mergeCell ref="B36:F36"/>
    <mergeCell ref="B37:F37"/>
    <mergeCell ref="B38:F38"/>
    <mergeCell ref="B39:F39"/>
    <mergeCell ref="B28:F28"/>
    <mergeCell ref="B29:F29"/>
    <mergeCell ref="B30:F30"/>
    <mergeCell ref="B31:F31"/>
    <mergeCell ref="B32:F32"/>
    <mergeCell ref="B33:F33"/>
    <mergeCell ref="B46:F46"/>
    <mergeCell ref="B47:F47"/>
    <mergeCell ref="B48:F48"/>
    <mergeCell ref="B49:F49"/>
    <mergeCell ref="B50:F50"/>
    <mergeCell ref="B51:F51"/>
    <mergeCell ref="B40:F40"/>
    <mergeCell ref="B41:F41"/>
    <mergeCell ref="B42:F42"/>
    <mergeCell ref="B43:F43"/>
    <mergeCell ref="B44:F44"/>
    <mergeCell ref="B45:F45"/>
    <mergeCell ref="B58:F58"/>
    <mergeCell ref="B59:F59"/>
    <mergeCell ref="B60:F60"/>
    <mergeCell ref="B61:F61"/>
    <mergeCell ref="B62:F62"/>
    <mergeCell ref="B63:F63"/>
    <mergeCell ref="B52:F52"/>
    <mergeCell ref="B53:F53"/>
    <mergeCell ref="B54:F54"/>
    <mergeCell ref="B55:F55"/>
    <mergeCell ref="B56:F56"/>
    <mergeCell ref="B57:F57"/>
    <mergeCell ref="B70:F70"/>
    <mergeCell ref="B71:F71"/>
    <mergeCell ref="B72:F72"/>
    <mergeCell ref="B73:F73"/>
    <mergeCell ref="B74:F74"/>
    <mergeCell ref="B75:F75"/>
    <mergeCell ref="B64:F64"/>
    <mergeCell ref="B65:F65"/>
    <mergeCell ref="B66:F66"/>
    <mergeCell ref="B67:F67"/>
    <mergeCell ref="B68:F68"/>
    <mergeCell ref="B69:F69"/>
    <mergeCell ref="B82:F82"/>
    <mergeCell ref="B83:F83"/>
    <mergeCell ref="B84:F84"/>
    <mergeCell ref="B85:F85"/>
    <mergeCell ref="B86:F86"/>
    <mergeCell ref="B87:F87"/>
    <mergeCell ref="B76:F76"/>
    <mergeCell ref="B77:F77"/>
    <mergeCell ref="B78:F78"/>
    <mergeCell ref="B79:F79"/>
    <mergeCell ref="B80:F80"/>
    <mergeCell ref="B81:F81"/>
    <mergeCell ref="B94:F94"/>
    <mergeCell ref="B95:F95"/>
    <mergeCell ref="B96:F96"/>
    <mergeCell ref="B97:F97"/>
    <mergeCell ref="B98:F98"/>
    <mergeCell ref="B99:F99"/>
    <mergeCell ref="B88:F88"/>
    <mergeCell ref="B89:F89"/>
    <mergeCell ref="B90:F90"/>
    <mergeCell ref="B91:F91"/>
    <mergeCell ref="B92:F92"/>
    <mergeCell ref="B93:F93"/>
    <mergeCell ref="B112:F112"/>
    <mergeCell ref="B113:F113"/>
    <mergeCell ref="B106:F106"/>
    <mergeCell ref="B107:F107"/>
    <mergeCell ref="B108:F108"/>
    <mergeCell ref="B109:F109"/>
    <mergeCell ref="B110:F110"/>
    <mergeCell ref="B111:F111"/>
    <mergeCell ref="B100:F100"/>
    <mergeCell ref="B101:F101"/>
    <mergeCell ref="B102:F102"/>
    <mergeCell ref="B103:F103"/>
    <mergeCell ref="B104:F104"/>
    <mergeCell ref="B105:F105"/>
  </mergeCells>
  <phoneticPr fontId="13"/>
  <conditionalFormatting sqref="A5:A6 K5:L7 N5:N7 P5:P8 A7:B7 A8 K8">
    <cfRule type="expression" dxfId="15" priority="4">
      <formula>$AO$2="補助金様式を都道府県に提出"</formula>
    </cfRule>
  </conditionalFormatting>
  <conditionalFormatting sqref="M13:M113">
    <cfRule type="expression" dxfId="14" priority="1">
      <formula>BL13=""</formula>
    </cfRule>
  </conditionalFormatting>
  <conditionalFormatting sqref="O13:O113">
    <cfRule type="expression" dxfId="13" priority="14">
      <formula>AP13=""</formula>
    </cfRule>
  </conditionalFormatting>
  <conditionalFormatting sqref="P13:P113">
    <cfRule type="expression" dxfId="12" priority="16">
      <formula>AND(P13&lt;#REF!, #REF!&lt;&gt;"")</formula>
    </cfRule>
  </conditionalFormatting>
  <conditionalFormatting sqref="R13:R115">
    <cfRule type="expression" dxfId="11" priority="13">
      <formula>O13&lt;&gt;""</formula>
    </cfRule>
  </conditionalFormatting>
  <conditionalFormatting sqref="T13:T113">
    <cfRule type="expression" dxfId="10" priority="12">
      <formula>O13&lt;&gt;""</formula>
    </cfRule>
  </conditionalFormatting>
  <conditionalFormatting sqref="V13:V113">
    <cfRule type="expression" dxfId="9" priority="7">
      <formula>O13&lt;&gt;""</formula>
    </cfRule>
  </conditionalFormatting>
  <conditionalFormatting sqref="X13:X113">
    <cfRule type="expression" dxfId="8" priority="11">
      <formula>O13&lt;&gt;""</formula>
    </cfRule>
  </conditionalFormatting>
  <conditionalFormatting sqref="AF13:AF113">
    <cfRule type="expression" dxfId="7" priority="10">
      <formula>AND($O13&lt;&gt;"", $AE13&lt;&gt;0, $AE13&lt;&gt;"")</formula>
    </cfRule>
  </conditionalFormatting>
  <conditionalFormatting sqref="AG13:AG113">
    <cfRule type="expression" dxfId="6" priority="9">
      <formula>O13&lt;&gt;""</formula>
    </cfRule>
  </conditionalFormatting>
  <conditionalFormatting sqref="AH13:AH113">
    <cfRule type="expression" dxfId="5" priority="8">
      <formula>AT13="AH列に色付け"</formula>
    </cfRule>
  </conditionalFormatting>
  <conditionalFormatting sqref="AI13:AI113">
    <cfRule type="expression" dxfId="4" priority="15">
      <formula>OR(O13="処遇改善加算Ⅰイ",O13="処遇改善加算Ⅰロ",O13="処遇改善加算Ⅱイ",O13="処遇改善加算Ⅱロ")</formula>
    </cfRule>
  </conditionalFormatting>
  <conditionalFormatting sqref="AJ13:AJ113">
    <cfRule type="expression" dxfId="3" priority="6">
      <formula>AZ13&lt;&gt;""</formula>
    </cfRule>
  </conditionalFormatting>
  <conditionalFormatting sqref="AK10">
    <cfRule type="expression" dxfId="2" priority="2">
      <formula>$BJ$13=0</formula>
    </cfRule>
  </conditionalFormatting>
  <conditionalFormatting sqref="AK13:AK113">
    <cfRule type="expression" dxfId="1" priority="3">
      <formula>OR($BE13="AK列色消し",$BF13="AK列色消し")</formula>
    </cfRule>
    <cfRule type="expression" dxfId="0" priority="5">
      <formula>BC13&lt;&gt;""</formula>
    </cfRule>
  </conditionalFormatting>
  <dataValidations count="7">
    <dataValidation type="list" allowBlank="1" showInputMessage="1" showErrorMessage="1" sqref="AG13:AG113" xr:uid="{33B79BF9-31B5-4F6A-ADC2-D90603E249CB}">
      <formula1>INDIRECT(AR13)</formula1>
    </dataValidation>
    <dataValidation type="list" allowBlank="1" showInputMessage="1" showErrorMessage="1" sqref="O13:O113" xr:uid="{8D0A3DE6-5001-4E8D-99BC-826FFC99D32E}">
      <formula1>INDIRECT(AO13)</formula1>
    </dataValidation>
    <dataValidation imeMode="halfAlpha" allowBlank="1" showInputMessage="1" showErrorMessage="1" sqref="G13:K113 B13:B113" xr:uid="{1F9E6306-A294-4B45-8B4C-11FDE3DD5661}"/>
    <dataValidation type="list" imeMode="halfAlpha" allowBlank="1" showDropDown="1" showInputMessage="1" showErrorMessage="1" error="このセルには８または９しか入力できません。" sqref="R13:R115 V13:V113" xr:uid="{8F6810F2-D63E-4326-8797-07EBB859EA45}">
      <formula1>"8,9"</formula1>
    </dataValidation>
    <dataValidation type="list" imeMode="halfAlpha" allowBlank="1" showDropDown="1" showInputMessage="1" showErrorMessage="1" error="このセルには１～３または６～12_x000a_の数字しか入力できません。" sqref="T13:T113 X13:X113" xr:uid="{115A883B-07DB-40D9-96E3-C5F3A0DF7864}">
      <formula1>"1,2,3,6,7,8,9,10,11,12"</formula1>
    </dataValidation>
    <dataValidation type="list" allowBlank="1" showInputMessage="1" showErrorMessage="1" sqref="AJ13:AJ113" xr:uid="{CD8C6287-56D9-4313-8ACC-AFDA5478C4FC}">
      <formula1>INDIRECT(AY13)</formula1>
    </dataValidation>
    <dataValidation type="list" allowBlank="1" showInputMessage="1" showErrorMessage="1" sqref="AK13:AK113" xr:uid="{5B4006F5-27DB-45DF-9BF5-E2519CE0F066}">
      <formula1>INDIRECT(BB13)</formula1>
    </dataValidation>
  </dataValidations>
  <pageMargins left="0.70866141732283472" right="0.70866141732283472" top="0.74803149606299213" bottom="0.74803149606299213" header="0.31496062992125984" footer="0.31496062992125984"/>
  <pageSetup paperSize="9" scale="28" fitToHeight="0" orientation="landscape" r:id="rId1"/>
  <drawing r:id="rId2"/>
  <legacyDrawing r:id="rId3"/>
  <extLst>
    <ext xmlns:x14="http://schemas.microsoft.com/office/spreadsheetml/2009/9/main" uri="{CCE6A557-97BC-4b89-ADB6-D9C93CAAB3DF}">
      <x14:dataValidations xmlns:xm="http://schemas.microsoft.com/office/excel/2006/main" count="3">
        <x14:dataValidation type="list" allowBlank="1" showInputMessage="1" showErrorMessage="1" xr:uid="{3508031E-073D-43A4-9260-40EFF3110FFC}">
          <x14:formula1>
            <xm:f>【参考】数式用!$BF$5:$BF$8</xm:f>
          </x14:formula1>
          <xm:sqref>AH13:AH113</xm:sqref>
        </x14:dataValidation>
        <x14:dataValidation type="list" allowBlank="1" showInputMessage="1" showErrorMessage="1" xr:uid="{74C8DE15-E994-4287-AEA0-4BEE2AC2EA2B}">
          <x14:formula1>
            <xm:f>【参考】数式用!$BF$2:$BF$3</xm:f>
          </x14:formula1>
          <xm:sqref>AF13:AF113</xm:sqref>
        </x14:dataValidation>
        <x14:dataValidation type="list" allowBlank="1" showInputMessage="1" showErrorMessage="1" xr:uid="{459BEFE0-E8C3-44F2-893B-03656140DE19}">
          <x14:formula1>
            <xm:f>【参考】数式用!$BF$22:$BF$23</xm:f>
          </x14:formula1>
          <xm:sqref>AI13:AI113</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09A2AD-A113-4990-8922-CDFF650EE712}">
  <sheetPr codeName="Sheet1">
    <pageSetUpPr fitToPage="1"/>
  </sheetPr>
  <dimension ref="A1:J29"/>
  <sheetViews>
    <sheetView view="pageBreakPreview" zoomScale="56" zoomScaleNormal="80" workbookViewId="0">
      <selection activeCell="I23" sqref="I23"/>
    </sheetView>
  </sheetViews>
  <sheetFormatPr defaultColWidth="9.875" defaultRowHeight="13.5"/>
  <cols>
    <col min="1" max="1" width="7.375" style="72" customWidth="1"/>
    <col min="2" max="2" width="19.875" style="72" customWidth="1"/>
    <col min="3" max="3" width="37.625" style="72" customWidth="1"/>
    <col min="4" max="4" width="47.375" style="72" customWidth="1"/>
    <col min="5" max="5" width="42.375" style="72" customWidth="1"/>
    <col min="6" max="6" width="42.875" style="72" customWidth="1"/>
    <col min="7" max="7" width="16.375" style="72" customWidth="1"/>
    <col min="8" max="8" width="44.625" style="72" customWidth="1"/>
    <col min="9" max="9" width="40.375" style="72" customWidth="1"/>
    <col min="10" max="10" width="9.875" style="69"/>
    <col min="11" max="229" width="9.875" style="63"/>
    <col min="230" max="230" width="8.375" style="63" customWidth="1"/>
    <col min="231" max="231" width="14" style="63" customWidth="1"/>
    <col min="232" max="232" width="17.875" style="63" customWidth="1"/>
    <col min="233" max="233" width="45" style="63" bestFit="1" customWidth="1"/>
    <col min="234" max="234" width="61.625" style="63" customWidth="1"/>
    <col min="235" max="235" width="20.375" style="63" customWidth="1"/>
    <col min="236" max="236" width="22.875" style="63" customWidth="1"/>
    <col min="237" max="237" width="25.125" style="63" customWidth="1"/>
    <col min="238" max="485" width="9.875" style="63"/>
    <col min="486" max="486" width="8.375" style="63" customWidth="1"/>
    <col min="487" max="487" width="14" style="63" customWidth="1"/>
    <col min="488" max="488" width="17.875" style="63" customWidth="1"/>
    <col min="489" max="489" width="45" style="63" bestFit="1" customWidth="1"/>
    <col min="490" max="490" width="61.625" style="63" customWidth="1"/>
    <col min="491" max="491" width="20.375" style="63" customWidth="1"/>
    <col min="492" max="492" width="22.875" style="63" customWidth="1"/>
    <col min="493" max="493" width="25.125" style="63" customWidth="1"/>
    <col min="494" max="741" width="9.875" style="63"/>
    <col min="742" max="742" width="8.375" style="63" customWidth="1"/>
    <col min="743" max="743" width="14" style="63" customWidth="1"/>
    <col min="744" max="744" width="17.875" style="63" customWidth="1"/>
    <col min="745" max="745" width="45" style="63" bestFit="1" customWidth="1"/>
    <col min="746" max="746" width="61.625" style="63" customWidth="1"/>
    <col min="747" max="747" width="20.375" style="63" customWidth="1"/>
    <col min="748" max="748" width="22.875" style="63" customWidth="1"/>
    <col min="749" max="749" width="25.125" style="63" customWidth="1"/>
    <col min="750" max="997" width="9.875" style="63"/>
    <col min="998" max="998" width="8.375" style="63" customWidth="1"/>
    <col min="999" max="999" width="14" style="63" customWidth="1"/>
    <col min="1000" max="1000" width="17.875" style="63" customWidth="1"/>
    <col min="1001" max="1001" width="45" style="63" bestFit="1" customWidth="1"/>
    <col min="1002" max="1002" width="61.625" style="63" customWidth="1"/>
    <col min="1003" max="1003" width="20.375" style="63" customWidth="1"/>
    <col min="1004" max="1004" width="22.875" style="63" customWidth="1"/>
    <col min="1005" max="1005" width="25.125" style="63" customWidth="1"/>
    <col min="1006" max="1253" width="9.875" style="63"/>
    <col min="1254" max="1254" width="8.375" style="63" customWidth="1"/>
    <col min="1255" max="1255" width="14" style="63" customWidth="1"/>
    <col min="1256" max="1256" width="17.875" style="63" customWidth="1"/>
    <col min="1257" max="1257" width="45" style="63" bestFit="1" customWidth="1"/>
    <col min="1258" max="1258" width="61.625" style="63" customWidth="1"/>
    <col min="1259" max="1259" width="20.375" style="63" customWidth="1"/>
    <col min="1260" max="1260" width="22.875" style="63" customWidth="1"/>
    <col min="1261" max="1261" width="25.125" style="63" customWidth="1"/>
    <col min="1262" max="1509" width="9.875" style="63"/>
    <col min="1510" max="1510" width="8.375" style="63" customWidth="1"/>
    <col min="1511" max="1511" width="14" style="63" customWidth="1"/>
    <col min="1512" max="1512" width="17.875" style="63" customWidth="1"/>
    <col min="1513" max="1513" width="45" style="63" bestFit="1" customWidth="1"/>
    <col min="1514" max="1514" width="61.625" style="63" customWidth="1"/>
    <col min="1515" max="1515" width="20.375" style="63" customWidth="1"/>
    <col min="1516" max="1516" width="22.875" style="63" customWidth="1"/>
    <col min="1517" max="1517" width="25.125" style="63" customWidth="1"/>
    <col min="1518" max="1765" width="9.875" style="63"/>
    <col min="1766" max="1766" width="8.375" style="63" customWidth="1"/>
    <col min="1767" max="1767" width="14" style="63" customWidth="1"/>
    <col min="1768" max="1768" width="17.875" style="63" customWidth="1"/>
    <col min="1769" max="1769" width="45" style="63" bestFit="1" customWidth="1"/>
    <col min="1770" max="1770" width="61.625" style="63" customWidth="1"/>
    <col min="1771" max="1771" width="20.375" style="63" customWidth="1"/>
    <col min="1772" max="1772" width="22.875" style="63" customWidth="1"/>
    <col min="1773" max="1773" width="25.125" style="63" customWidth="1"/>
    <col min="1774" max="2021" width="9.875" style="63"/>
    <col min="2022" max="2022" width="8.375" style="63" customWidth="1"/>
    <col min="2023" max="2023" width="14" style="63" customWidth="1"/>
    <col min="2024" max="2024" width="17.875" style="63" customWidth="1"/>
    <col min="2025" max="2025" width="45" style="63" bestFit="1" customWidth="1"/>
    <col min="2026" max="2026" width="61.625" style="63" customWidth="1"/>
    <col min="2027" max="2027" width="20.375" style="63" customWidth="1"/>
    <col min="2028" max="2028" width="22.875" style="63" customWidth="1"/>
    <col min="2029" max="2029" width="25.125" style="63" customWidth="1"/>
    <col min="2030" max="2277" width="9.875" style="63"/>
    <col min="2278" max="2278" width="8.375" style="63" customWidth="1"/>
    <col min="2279" max="2279" width="14" style="63" customWidth="1"/>
    <col min="2280" max="2280" width="17.875" style="63" customWidth="1"/>
    <col min="2281" max="2281" width="45" style="63" bestFit="1" customWidth="1"/>
    <col min="2282" max="2282" width="61.625" style="63" customWidth="1"/>
    <col min="2283" max="2283" width="20.375" style="63" customWidth="1"/>
    <col min="2284" max="2284" width="22.875" style="63" customWidth="1"/>
    <col min="2285" max="2285" width="25.125" style="63" customWidth="1"/>
    <col min="2286" max="2533" width="9.875" style="63"/>
    <col min="2534" max="2534" width="8.375" style="63" customWidth="1"/>
    <col min="2535" max="2535" width="14" style="63" customWidth="1"/>
    <col min="2536" max="2536" width="17.875" style="63" customWidth="1"/>
    <col min="2537" max="2537" width="45" style="63" bestFit="1" customWidth="1"/>
    <col min="2538" max="2538" width="61.625" style="63" customWidth="1"/>
    <col min="2539" max="2539" width="20.375" style="63" customWidth="1"/>
    <col min="2540" max="2540" width="22.875" style="63" customWidth="1"/>
    <col min="2541" max="2541" width="25.125" style="63" customWidth="1"/>
    <col min="2542" max="2789" width="9.875" style="63"/>
    <col min="2790" max="2790" width="8.375" style="63" customWidth="1"/>
    <col min="2791" max="2791" width="14" style="63" customWidth="1"/>
    <col min="2792" max="2792" width="17.875" style="63" customWidth="1"/>
    <col min="2793" max="2793" width="45" style="63" bestFit="1" customWidth="1"/>
    <col min="2794" max="2794" width="61.625" style="63" customWidth="1"/>
    <col min="2795" max="2795" width="20.375" style="63" customWidth="1"/>
    <col min="2796" max="2796" width="22.875" style="63" customWidth="1"/>
    <col min="2797" max="2797" width="25.125" style="63" customWidth="1"/>
    <col min="2798" max="3045" width="9.875" style="63"/>
    <col min="3046" max="3046" width="8.375" style="63" customWidth="1"/>
    <col min="3047" max="3047" width="14" style="63" customWidth="1"/>
    <col min="3048" max="3048" width="17.875" style="63" customWidth="1"/>
    <col min="3049" max="3049" width="45" style="63" bestFit="1" customWidth="1"/>
    <col min="3050" max="3050" width="61.625" style="63" customWidth="1"/>
    <col min="3051" max="3051" width="20.375" style="63" customWidth="1"/>
    <col min="3052" max="3052" width="22.875" style="63" customWidth="1"/>
    <col min="3053" max="3053" width="25.125" style="63" customWidth="1"/>
    <col min="3054" max="3301" width="9.875" style="63"/>
    <col min="3302" max="3302" width="8.375" style="63" customWidth="1"/>
    <col min="3303" max="3303" width="14" style="63" customWidth="1"/>
    <col min="3304" max="3304" width="17.875" style="63" customWidth="1"/>
    <col min="3305" max="3305" width="45" style="63" bestFit="1" customWidth="1"/>
    <col min="3306" max="3306" width="61.625" style="63" customWidth="1"/>
    <col min="3307" max="3307" width="20.375" style="63" customWidth="1"/>
    <col min="3308" max="3308" width="22.875" style="63" customWidth="1"/>
    <col min="3309" max="3309" width="25.125" style="63" customWidth="1"/>
    <col min="3310" max="3557" width="9.875" style="63"/>
    <col min="3558" max="3558" width="8.375" style="63" customWidth="1"/>
    <col min="3559" max="3559" width="14" style="63" customWidth="1"/>
    <col min="3560" max="3560" width="17.875" style="63" customWidth="1"/>
    <col min="3561" max="3561" width="45" style="63" bestFit="1" customWidth="1"/>
    <col min="3562" max="3562" width="61.625" style="63" customWidth="1"/>
    <col min="3563" max="3563" width="20.375" style="63" customWidth="1"/>
    <col min="3564" max="3564" width="22.875" style="63" customWidth="1"/>
    <col min="3565" max="3565" width="25.125" style="63" customWidth="1"/>
    <col min="3566" max="3813" width="9.875" style="63"/>
    <col min="3814" max="3814" width="8.375" style="63" customWidth="1"/>
    <col min="3815" max="3815" width="14" style="63" customWidth="1"/>
    <col min="3816" max="3816" width="17.875" style="63" customWidth="1"/>
    <col min="3817" max="3817" width="45" style="63" bestFit="1" customWidth="1"/>
    <col min="3818" max="3818" width="61.625" style="63" customWidth="1"/>
    <col min="3819" max="3819" width="20.375" style="63" customWidth="1"/>
    <col min="3820" max="3820" width="22.875" style="63" customWidth="1"/>
    <col min="3821" max="3821" width="25.125" style="63" customWidth="1"/>
    <col min="3822" max="4069" width="9.875" style="63"/>
    <col min="4070" max="4070" width="8.375" style="63" customWidth="1"/>
    <col min="4071" max="4071" width="14" style="63" customWidth="1"/>
    <col min="4072" max="4072" width="17.875" style="63" customWidth="1"/>
    <col min="4073" max="4073" width="45" style="63" bestFit="1" customWidth="1"/>
    <col min="4074" max="4074" width="61.625" style="63" customWidth="1"/>
    <col min="4075" max="4075" width="20.375" style="63" customWidth="1"/>
    <col min="4076" max="4076" width="22.875" style="63" customWidth="1"/>
    <col min="4077" max="4077" width="25.125" style="63" customWidth="1"/>
    <col min="4078" max="4325" width="9.875" style="63"/>
    <col min="4326" max="4326" width="8.375" style="63" customWidth="1"/>
    <col min="4327" max="4327" width="14" style="63" customWidth="1"/>
    <col min="4328" max="4328" width="17.875" style="63" customWidth="1"/>
    <col min="4329" max="4329" width="45" style="63" bestFit="1" customWidth="1"/>
    <col min="4330" max="4330" width="61.625" style="63" customWidth="1"/>
    <col min="4331" max="4331" width="20.375" style="63" customWidth="1"/>
    <col min="4332" max="4332" width="22.875" style="63" customWidth="1"/>
    <col min="4333" max="4333" width="25.125" style="63" customWidth="1"/>
    <col min="4334" max="4581" width="9.875" style="63"/>
    <col min="4582" max="4582" width="8.375" style="63" customWidth="1"/>
    <col min="4583" max="4583" width="14" style="63" customWidth="1"/>
    <col min="4584" max="4584" width="17.875" style="63" customWidth="1"/>
    <col min="4585" max="4585" width="45" style="63" bestFit="1" customWidth="1"/>
    <col min="4586" max="4586" width="61.625" style="63" customWidth="1"/>
    <col min="4587" max="4587" width="20.375" style="63" customWidth="1"/>
    <col min="4588" max="4588" width="22.875" style="63" customWidth="1"/>
    <col min="4589" max="4589" width="25.125" style="63" customWidth="1"/>
    <col min="4590" max="4837" width="9.875" style="63"/>
    <col min="4838" max="4838" width="8.375" style="63" customWidth="1"/>
    <col min="4839" max="4839" width="14" style="63" customWidth="1"/>
    <col min="4840" max="4840" width="17.875" style="63" customWidth="1"/>
    <col min="4841" max="4841" width="45" style="63" bestFit="1" customWidth="1"/>
    <col min="4842" max="4842" width="61.625" style="63" customWidth="1"/>
    <col min="4843" max="4843" width="20.375" style="63" customWidth="1"/>
    <col min="4844" max="4844" width="22.875" style="63" customWidth="1"/>
    <col min="4845" max="4845" width="25.125" style="63" customWidth="1"/>
    <col min="4846" max="5093" width="9.875" style="63"/>
    <col min="5094" max="5094" width="8.375" style="63" customWidth="1"/>
    <col min="5095" max="5095" width="14" style="63" customWidth="1"/>
    <col min="5096" max="5096" width="17.875" style="63" customWidth="1"/>
    <col min="5097" max="5097" width="45" style="63" bestFit="1" customWidth="1"/>
    <col min="5098" max="5098" width="61.625" style="63" customWidth="1"/>
    <col min="5099" max="5099" width="20.375" style="63" customWidth="1"/>
    <col min="5100" max="5100" width="22.875" style="63" customWidth="1"/>
    <col min="5101" max="5101" width="25.125" style="63" customWidth="1"/>
    <col min="5102" max="5349" width="9.875" style="63"/>
    <col min="5350" max="5350" width="8.375" style="63" customWidth="1"/>
    <col min="5351" max="5351" width="14" style="63" customWidth="1"/>
    <col min="5352" max="5352" width="17.875" style="63" customWidth="1"/>
    <col min="5353" max="5353" width="45" style="63" bestFit="1" customWidth="1"/>
    <col min="5354" max="5354" width="61.625" style="63" customWidth="1"/>
    <col min="5355" max="5355" width="20.375" style="63" customWidth="1"/>
    <col min="5356" max="5356" width="22.875" style="63" customWidth="1"/>
    <col min="5357" max="5357" width="25.125" style="63" customWidth="1"/>
    <col min="5358" max="5605" width="9.875" style="63"/>
    <col min="5606" max="5606" width="8.375" style="63" customWidth="1"/>
    <col min="5607" max="5607" width="14" style="63" customWidth="1"/>
    <col min="5608" max="5608" width="17.875" style="63" customWidth="1"/>
    <col min="5609" max="5609" width="45" style="63" bestFit="1" customWidth="1"/>
    <col min="5610" max="5610" width="61.625" style="63" customWidth="1"/>
    <col min="5611" max="5611" width="20.375" style="63" customWidth="1"/>
    <col min="5612" max="5612" width="22.875" style="63" customWidth="1"/>
    <col min="5613" max="5613" width="25.125" style="63" customWidth="1"/>
    <col min="5614" max="5861" width="9.875" style="63"/>
    <col min="5862" max="5862" width="8.375" style="63" customWidth="1"/>
    <col min="5863" max="5863" width="14" style="63" customWidth="1"/>
    <col min="5864" max="5864" width="17.875" style="63" customWidth="1"/>
    <col min="5865" max="5865" width="45" style="63" bestFit="1" customWidth="1"/>
    <col min="5866" max="5866" width="61.625" style="63" customWidth="1"/>
    <col min="5867" max="5867" width="20.375" style="63" customWidth="1"/>
    <col min="5868" max="5868" width="22.875" style="63" customWidth="1"/>
    <col min="5869" max="5869" width="25.125" style="63" customWidth="1"/>
    <col min="5870" max="6117" width="9.875" style="63"/>
    <col min="6118" max="6118" width="8.375" style="63" customWidth="1"/>
    <col min="6119" max="6119" width="14" style="63" customWidth="1"/>
    <col min="6120" max="6120" width="17.875" style="63" customWidth="1"/>
    <col min="6121" max="6121" width="45" style="63" bestFit="1" customWidth="1"/>
    <col min="6122" max="6122" width="61.625" style="63" customWidth="1"/>
    <col min="6123" max="6123" width="20.375" style="63" customWidth="1"/>
    <col min="6124" max="6124" width="22.875" style="63" customWidth="1"/>
    <col min="6125" max="6125" width="25.125" style="63" customWidth="1"/>
    <col min="6126" max="6373" width="9.875" style="63"/>
    <col min="6374" max="6374" width="8.375" style="63" customWidth="1"/>
    <col min="6375" max="6375" width="14" style="63" customWidth="1"/>
    <col min="6376" max="6376" width="17.875" style="63" customWidth="1"/>
    <col min="6377" max="6377" width="45" style="63" bestFit="1" customWidth="1"/>
    <col min="6378" max="6378" width="61.625" style="63" customWidth="1"/>
    <col min="6379" max="6379" width="20.375" style="63" customWidth="1"/>
    <col min="6380" max="6380" width="22.875" style="63" customWidth="1"/>
    <col min="6381" max="6381" width="25.125" style="63" customWidth="1"/>
    <col min="6382" max="6629" width="9.875" style="63"/>
    <col min="6630" max="6630" width="8.375" style="63" customWidth="1"/>
    <col min="6631" max="6631" width="14" style="63" customWidth="1"/>
    <col min="6632" max="6632" width="17.875" style="63" customWidth="1"/>
    <col min="6633" max="6633" width="45" style="63" bestFit="1" customWidth="1"/>
    <col min="6634" max="6634" width="61.625" style="63" customWidth="1"/>
    <col min="6635" max="6635" width="20.375" style="63" customWidth="1"/>
    <col min="6636" max="6636" width="22.875" style="63" customWidth="1"/>
    <col min="6637" max="6637" width="25.125" style="63" customWidth="1"/>
    <col min="6638" max="6885" width="9.875" style="63"/>
    <col min="6886" max="6886" width="8.375" style="63" customWidth="1"/>
    <col min="6887" max="6887" width="14" style="63" customWidth="1"/>
    <col min="6888" max="6888" width="17.875" style="63" customWidth="1"/>
    <col min="6889" max="6889" width="45" style="63" bestFit="1" customWidth="1"/>
    <col min="6890" max="6890" width="61.625" style="63" customWidth="1"/>
    <col min="6891" max="6891" width="20.375" style="63" customWidth="1"/>
    <col min="6892" max="6892" width="22.875" style="63" customWidth="1"/>
    <col min="6893" max="6893" width="25.125" style="63" customWidth="1"/>
    <col min="6894" max="7141" width="9.875" style="63"/>
    <col min="7142" max="7142" width="8.375" style="63" customWidth="1"/>
    <col min="7143" max="7143" width="14" style="63" customWidth="1"/>
    <col min="7144" max="7144" width="17.875" style="63" customWidth="1"/>
    <col min="7145" max="7145" width="45" style="63" bestFit="1" customWidth="1"/>
    <col min="7146" max="7146" width="61.625" style="63" customWidth="1"/>
    <col min="7147" max="7147" width="20.375" style="63" customWidth="1"/>
    <col min="7148" max="7148" width="22.875" style="63" customWidth="1"/>
    <col min="7149" max="7149" width="25.125" style="63" customWidth="1"/>
    <col min="7150" max="7397" width="9.875" style="63"/>
    <col min="7398" max="7398" width="8.375" style="63" customWidth="1"/>
    <col min="7399" max="7399" width="14" style="63" customWidth="1"/>
    <col min="7400" max="7400" width="17.875" style="63" customWidth="1"/>
    <col min="7401" max="7401" width="45" style="63" bestFit="1" customWidth="1"/>
    <col min="7402" max="7402" width="61.625" style="63" customWidth="1"/>
    <col min="7403" max="7403" width="20.375" style="63" customWidth="1"/>
    <col min="7404" max="7404" width="22.875" style="63" customWidth="1"/>
    <col min="7405" max="7405" width="25.125" style="63" customWidth="1"/>
    <col min="7406" max="7653" width="9.875" style="63"/>
    <col min="7654" max="7654" width="8.375" style="63" customWidth="1"/>
    <col min="7655" max="7655" width="14" style="63" customWidth="1"/>
    <col min="7656" max="7656" width="17.875" style="63" customWidth="1"/>
    <col min="7657" max="7657" width="45" style="63" bestFit="1" customWidth="1"/>
    <col min="7658" max="7658" width="61.625" style="63" customWidth="1"/>
    <col min="7659" max="7659" width="20.375" style="63" customWidth="1"/>
    <col min="7660" max="7660" width="22.875" style="63" customWidth="1"/>
    <col min="7661" max="7661" width="25.125" style="63" customWidth="1"/>
    <col min="7662" max="7909" width="9.875" style="63"/>
    <col min="7910" max="7910" width="8.375" style="63" customWidth="1"/>
    <col min="7911" max="7911" width="14" style="63" customWidth="1"/>
    <col min="7912" max="7912" width="17.875" style="63" customWidth="1"/>
    <col min="7913" max="7913" width="45" style="63" bestFit="1" customWidth="1"/>
    <col min="7914" max="7914" width="61.625" style="63" customWidth="1"/>
    <col min="7915" max="7915" width="20.375" style="63" customWidth="1"/>
    <col min="7916" max="7916" width="22.875" style="63" customWidth="1"/>
    <col min="7917" max="7917" width="25.125" style="63" customWidth="1"/>
    <col min="7918" max="8165" width="9.875" style="63"/>
    <col min="8166" max="8166" width="8.375" style="63" customWidth="1"/>
    <col min="8167" max="8167" width="14" style="63" customWidth="1"/>
    <col min="8168" max="8168" width="17.875" style="63" customWidth="1"/>
    <col min="8169" max="8169" width="45" style="63" bestFit="1" customWidth="1"/>
    <col min="8170" max="8170" width="61.625" style="63" customWidth="1"/>
    <col min="8171" max="8171" width="20.375" style="63" customWidth="1"/>
    <col min="8172" max="8172" width="22.875" style="63" customWidth="1"/>
    <col min="8173" max="8173" width="25.125" style="63" customWidth="1"/>
    <col min="8174" max="8421" width="9.875" style="63"/>
    <col min="8422" max="8422" width="8.375" style="63" customWidth="1"/>
    <col min="8423" max="8423" width="14" style="63" customWidth="1"/>
    <col min="8424" max="8424" width="17.875" style="63" customWidth="1"/>
    <col min="8425" max="8425" width="45" style="63" bestFit="1" customWidth="1"/>
    <col min="8426" max="8426" width="61.625" style="63" customWidth="1"/>
    <col min="8427" max="8427" width="20.375" style="63" customWidth="1"/>
    <col min="8428" max="8428" width="22.875" style="63" customWidth="1"/>
    <col min="8429" max="8429" width="25.125" style="63" customWidth="1"/>
    <col min="8430" max="8677" width="9.875" style="63"/>
    <col min="8678" max="8678" width="8.375" style="63" customWidth="1"/>
    <col min="8679" max="8679" width="14" style="63" customWidth="1"/>
    <col min="8680" max="8680" width="17.875" style="63" customWidth="1"/>
    <col min="8681" max="8681" width="45" style="63" bestFit="1" customWidth="1"/>
    <col min="8682" max="8682" width="61.625" style="63" customWidth="1"/>
    <col min="8683" max="8683" width="20.375" style="63" customWidth="1"/>
    <col min="8684" max="8684" width="22.875" style="63" customWidth="1"/>
    <col min="8685" max="8685" width="25.125" style="63" customWidth="1"/>
    <col min="8686" max="8933" width="9.875" style="63"/>
    <col min="8934" max="8934" width="8.375" style="63" customWidth="1"/>
    <col min="8935" max="8935" width="14" style="63" customWidth="1"/>
    <col min="8936" max="8936" width="17.875" style="63" customWidth="1"/>
    <col min="8937" max="8937" width="45" style="63" bestFit="1" customWidth="1"/>
    <col min="8938" max="8938" width="61.625" style="63" customWidth="1"/>
    <col min="8939" max="8939" width="20.375" style="63" customWidth="1"/>
    <col min="8940" max="8940" width="22.875" style="63" customWidth="1"/>
    <col min="8941" max="8941" width="25.125" style="63" customWidth="1"/>
    <col min="8942" max="9189" width="9.875" style="63"/>
    <col min="9190" max="9190" width="8.375" style="63" customWidth="1"/>
    <col min="9191" max="9191" width="14" style="63" customWidth="1"/>
    <col min="9192" max="9192" width="17.875" style="63" customWidth="1"/>
    <col min="9193" max="9193" width="45" style="63" bestFit="1" customWidth="1"/>
    <col min="9194" max="9194" width="61.625" style="63" customWidth="1"/>
    <col min="9195" max="9195" width="20.375" style="63" customWidth="1"/>
    <col min="9196" max="9196" width="22.875" style="63" customWidth="1"/>
    <col min="9197" max="9197" width="25.125" style="63" customWidth="1"/>
    <col min="9198" max="9445" width="9.875" style="63"/>
    <col min="9446" max="9446" width="8.375" style="63" customWidth="1"/>
    <col min="9447" max="9447" width="14" style="63" customWidth="1"/>
    <col min="9448" max="9448" width="17.875" style="63" customWidth="1"/>
    <col min="9449" max="9449" width="45" style="63" bestFit="1" customWidth="1"/>
    <col min="9450" max="9450" width="61.625" style="63" customWidth="1"/>
    <col min="9451" max="9451" width="20.375" style="63" customWidth="1"/>
    <col min="9452" max="9452" width="22.875" style="63" customWidth="1"/>
    <col min="9453" max="9453" width="25.125" style="63" customWidth="1"/>
    <col min="9454" max="9701" width="9.875" style="63"/>
    <col min="9702" max="9702" width="8.375" style="63" customWidth="1"/>
    <col min="9703" max="9703" width="14" style="63" customWidth="1"/>
    <col min="9704" max="9704" width="17.875" style="63" customWidth="1"/>
    <col min="9705" max="9705" width="45" style="63" bestFit="1" customWidth="1"/>
    <col min="9706" max="9706" width="61.625" style="63" customWidth="1"/>
    <col min="9707" max="9707" width="20.375" style="63" customWidth="1"/>
    <col min="9708" max="9708" width="22.875" style="63" customWidth="1"/>
    <col min="9709" max="9709" width="25.125" style="63" customWidth="1"/>
    <col min="9710" max="9957" width="9.875" style="63"/>
    <col min="9958" max="9958" width="8.375" style="63" customWidth="1"/>
    <col min="9959" max="9959" width="14" style="63" customWidth="1"/>
    <col min="9960" max="9960" width="17.875" style="63" customWidth="1"/>
    <col min="9961" max="9961" width="45" style="63" bestFit="1" customWidth="1"/>
    <col min="9962" max="9962" width="61.625" style="63" customWidth="1"/>
    <col min="9963" max="9963" width="20.375" style="63" customWidth="1"/>
    <col min="9964" max="9964" width="22.875" style="63" customWidth="1"/>
    <col min="9965" max="9965" width="25.125" style="63" customWidth="1"/>
    <col min="9966" max="10213" width="9.875" style="63"/>
    <col min="10214" max="10214" width="8.375" style="63" customWidth="1"/>
    <col min="10215" max="10215" width="14" style="63" customWidth="1"/>
    <col min="10216" max="10216" width="17.875" style="63" customWidth="1"/>
    <col min="10217" max="10217" width="45" style="63" bestFit="1" customWidth="1"/>
    <col min="10218" max="10218" width="61.625" style="63" customWidth="1"/>
    <col min="10219" max="10219" width="20.375" style="63" customWidth="1"/>
    <col min="10220" max="10220" width="22.875" style="63" customWidth="1"/>
    <col min="10221" max="10221" width="25.125" style="63" customWidth="1"/>
    <col min="10222" max="10469" width="9.875" style="63"/>
    <col min="10470" max="10470" width="8.375" style="63" customWidth="1"/>
    <col min="10471" max="10471" width="14" style="63" customWidth="1"/>
    <col min="10472" max="10472" width="17.875" style="63" customWidth="1"/>
    <col min="10473" max="10473" width="45" style="63" bestFit="1" customWidth="1"/>
    <col min="10474" max="10474" width="61.625" style="63" customWidth="1"/>
    <col min="10475" max="10475" width="20.375" style="63" customWidth="1"/>
    <col min="10476" max="10476" width="22.875" style="63" customWidth="1"/>
    <col min="10477" max="10477" width="25.125" style="63" customWidth="1"/>
    <col min="10478" max="10725" width="9.875" style="63"/>
    <col min="10726" max="10726" width="8.375" style="63" customWidth="1"/>
    <col min="10727" max="10727" width="14" style="63" customWidth="1"/>
    <col min="10728" max="10728" width="17.875" style="63" customWidth="1"/>
    <col min="10729" max="10729" width="45" style="63" bestFit="1" customWidth="1"/>
    <col min="10730" max="10730" width="61.625" style="63" customWidth="1"/>
    <col min="10731" max="10731" width="20.375" style="63" customWidth="1"/>
    <col min="10732" max="10732" width="22.875" style="63" customWidth="1"/>
    <col min="10733" max="10733" width="25.125" style="63" customWidth="1"/>
    <col min="10734" max="10981" width="9.875" style="63"/>
    <col min="10982" max="10982" width="8.375" style="63" customWidth="1"/>
    <col min="10983" max="10983" width="14" style="63" customWidth="1"/>
    <col min="10984" max="10984" width="17.875" style="63" customWidth="1"/>
    <col min="10985" max="10985" width="45" style="63" bestFit="1" customWidth="1"/>
    <col min="10986" max="10986" width="61.625" style="63" customWidth="1"/>
    <col min="10987" max="10987" width="20.375" style="63" customWidth="1"/>
    <col min="10988" max="10988" width="22.875" style="63" customWidth="1"/>
    <col min="10989" max="10989" width="25.125" style="63" customWidth="1"/>
    <col min="10990" max="11237" width="9.875" style="63"/>
    <col min="11238" max="11238" width="8.375" style="63" customWidth="1"/>
    <col min="11239" max="11239" width="14" style="63" customWidth="1"/>
    <col min="11240" max="11240" width="17.875" style="63" customWidth="1"/>
    <col min="11241" max="11241" width="45" style="63" bestFit="1" customWidth="1"/>
    <col min="11242" max="11242" width="61.625" style="63" customWidth="1"/>
    <col min="11243" max="11243" width="20.375" style="63" customWidth="1"/>
    <col min="11244" max="11244" width="22.875" style="63" customWidth="1"/>
    <col min="11245" max="11245" width="25.125" style="63" customWidth="1"/>
    <col min="11246" max="11493" width="9.875" style="63"/>
    <col min="11494" max="11494" width="8.375" style="63" customWidth="1"/>
    <col min="11495" max="11495" width="14" style="63" customWidth="1"/>
    <col min="11496" max="11496" width="17.875" style="63" customWidth="1"/>
    <col min="11497" max="11497" width="45" style="63" bestFit="1" customWidth="1"/>
    <col min="11498" max="11498" width="61.625" style="63" customWidth="1"/>
    <col min="11499" max="11499" width="20.375" style="63" customWidth="1"/>
    <col min="11500" max="11500" width="22.875" style="63" customWidth="1"/>
    <col min="11501" max="11501" width="25.125" style="63" customWidth="1"/>
    <col min="11502" max="11749" width="9.875" style="63"/>
    <col min="11750" max="11750" width="8.375" style="63" customWidth="1"/>
    <col min="11751" max="11751" width="14" style="63" customWidth="1"/>
    <col min="11752" max="11752" width="17.875" style="63" customWidth="1"/>
    <col min="11753" max="11753" width="45" style="63" bestFit="1" customWidth="1"/>
    <col min="11754" max="11754" width="61.625" style="63" customWidth="1"/>
    <col min="11755" max="11755" width="20.375" style="63" customWidth="1"/>
    <col min="11756" max="11756" width="22.875" style="63" customWidth="1"/>
    <col min="11757" max="11757" width="25.125" style="63" customWidth="1"/>
    <col min="11758" max="12005" width="9.875" style="63"/>
    <col min="12006" max="12006" width="8.375" style="63" customWidth="1"/>
    <col min="12007" max="12007" width="14" style="63" customWidth="1"/>
    <col min="12008" max="12008" width="17.875" style="63" customWidth="1"/>
    <col min="12009" max="12009" width="45" style="63" bestFit="1" customWidth="1"/>
    <col min="12010" max="12010" width="61.625" style="63" customWidth="1"/>
    <col min="12011" max="12011" width="20.375" style="63" customWidth="1"/>
    <col min="12012" max="12012" width="22.875" style="63" customWidth="1"/>
    <col min="12013" max="12013" width="25.125" style="63" customWidth="1"/>
    <col min="12014" max="12261" width="9.875" style="63"/>
    <col min="12262" max="12262" width="8.375" style="63" customWidth="1"/>
    <col min="12263" max="12263" width="14" style="63" customWidth="1"/>
    <col min="12264" max="12264" width="17.875" style="63" customWidth="1"/>
    <col min="12265" max="12265" width="45" style="63" bestFit="1" customWidth="1"/>
    <col min="12266" max="12266" width="61.625" style="63" customWidth="1"/>
    <col min="12267" max="12267" width="20.375" style="63" customWidth="1"/>
    <col min="12268" max="12268" width="22.875" style="63" customWidth="1"/>
    <col min="12269" max="12269" width="25.125" style="63" customWidth="1"/>
    <col min="12270" max="12517" width="9.875" style="63"/>
    <col min="12518" max="12518" width="8.375" style="63" customWidth="1"/>
    <col min="12519" max="12519" width="14" style="63" customWidth="1"/>
    <col min="12520" max="12520" width="17.875" style="63" customWidth="1"/>
    <col min="12521" max="12521" width="45" style="63" bestFit="1" customWidth="1"/>
    <col min="12522" max="12522" width="61.625" style="63" customWidth="1"/>
    <col min="12523" max="12523" width="20.375" style="63" customWidth="1"/>
    <col min="12524" max="12524" width="22.875" style="63" customWidth="1"/>
    <col min="12525" max="12525" width="25.125" style="63" customWidth="1"/>
    <col min="12526" max="12773" width="9.875" style="63"/>
    <col min="12774" max="12774" width="8.375" style="63" customWidth="1"/>
    <col min="12775" max="12775" width="14" style="63" customWidth="1"/>
    <col min="12776" max="12776" width="17.875" style="63" customWidth="1"/>
    <col min="12777" max="12777" width="45" style="63" bestFit="1" customWidth="1"/>
    <col min="12778" max="12778" width="61.625" style="63" customWidth="1"/>
    <col min="12779" max="12779" width="20.375" style="63" customWidth="1"/>
    <col min="12780" max="12780" width="22.875" style="63" customWidth="1"/>
    <col min="12781" max="12781" width="25.125" style="63" customWidth="1"/>
    <col min="12782" max="13029" width="9.875" style="63"/>
    <col min="13030" max="13030" width="8.375" style="63" customWidth="1"/>
    <col min="13031" max="13031" width="14" style="63" customWidth="1"/>
    <col min="13032" max="13032" width="17.875" style="63" customWidth="1"/>
    <col min="13033" max="13033" width="45" style="63" bestFit="1" customWidth="1"/>
    <col min="13034" max="13034" width="61.625" style="63" customWidth="1"/>
    <col min="13035" max="13035" width="20.375" style="63" customWidth="1"/>
    <col min="13036" max="13036" width="22.875" style="63" customWidth="1"/>
    <col min="13037" max="13037" width="25.125" style="63" customWidth="1"/>
    <col min="13038" max="13285" width="9.875" style="63"/>
    <col min="13286" max="13286" width="8.375" style="63" customWidth="1"/>
    <col min="13287" max="13287" width="14" style="63" customWidth="1"/>
    <col min="13288" max="13288" width="17.875" style="63" customWidth="1"/>
    <col min="13289" max="13289" width="45" style="63" bestFit="1" customWidth="1"/>
    <col min="13290" max="13290" width="61.625" style="63" customWidth="1"/>
    <col min="13291" max="13291" width="20.375" style="63" customWidth="1"/>
    <col min="13292" max="13292" width="22.875" style="63" customWidth="1"/>
    <col min="13293" max="13293" width="25.125" style="63" customWidth="1"/>
    <col min="13294" max="13541" width="9.875" style="63"/>
    <col min="13542" max="13542" width="8.375" style="63" customWidth="1"/>
    <col min="13543" max="13543" width="14" style="63" customWidth="1"/>
    <col min="13544" max="13544" width="17.875" style="63" customWidth="1"/>
    <col min="13545" max="13545" width="45" style="63" bestFit="1" customWidth="1"/>
    <col min="13546" max="13546" width="61.625" style="63" customWidth="1"/>
    <col min="13547" max="13547" width="20.375" style="63" customWidth="1"/>
    <col min="13548" max="13548" width="22.875" style="63" customWidth="1"/>
    <col min="13549" max="13549" width="25.125" style="63" customWidth="1"/>
    <col min="13550" max="13797" width="9.875" style="63"/>
    <col min="13798" max="13798" width="8.375" style="63" customWidth="1"/>
    <col min="13799" max="13799" width="14" style="63" customWidth="1"/>
    <col min="13800" max="13800" width="17.875" style="63" customWidth="1"/>
    <col min="13801" max="13801" width="45" style="63" bestFit="1" customWidth="1"/>
    <col min="13802" max="13802" width="61.625" style="63" customWidth="1"/>
    <col min="13803" max="13803" width="20.375" style="63" customWidth="1"/>
    <col min="13804" max="13804" width="22.875" style="63" customWidth="1"/>
    <col min="13805" max="13805" width="25.125" style="63" customWidth="1"/>
    <col min="13806" max="14053" width="9.875" style="63"/>
    <col min="14054" max="14054" width="8.375" style="63" customWidth="1"/>
    <col min="14055" max="14055" width="14" style="63" customWidth="1"/>
    <col min="14056" max="14056" width="17.875" style="63" customWidth="1"/>
    <col min="14057" max="14057" width="45" style="63" bestFit="1" customWidth="1"/>
    <col min="14058" max="14058" width="61.625" style="63" customWidth="1"/>
    <col min="14059" max="14059" width="20.375" style="63" customWidth="1"/>
    <col min="14060" max="14060" width="22.875" style="63" customWidth="1"/>
    <col min="14061" max="14061" width="25.125" style="63" customWidth="1"/>
    <col min="14062" max="14309" width="9.875" style="63"/>
    <col min="14310" max="14310" width="8.375" style="63" customWidth="1"/>
    <col min="14311" max="14311" width="14" style="63" customWidth="1"/>
    <col min="14312" max="14312" width="17.875" style="63" customWidth="1"/>
    <col min="14313" max="14313" width="45" style="63" bestFit="1" customWidth="1"/>
    <col min="14314" max="14314" width="61.625" style="63" customWidth="1"/>
    <col min="14315" max="14315" width="20.375" style="63" customWidth="1"/>
    <col min="14316" max="14316" width="22.875" style="63" customWidth="1"/>
    <col min="14317" max="14317" width="25.125" style="63" customWidth="1"/>
    <col min="14318" max="14565" width="9.875" style="63"/>
    <col min="14566" max="14566" width="8.375" style="63" customWidth="1"/>
    <col min="14567" max="14567" width="14" style="63" customWidth="1"/>
    <col min="14568" max="14568" width="17.875" style="63" customWidth="1"/>
    <col min="14569" max="14569" width="45" style="63" bestFit="1" customWidth="1"/>
    <col min="14570" max="14570" width="61.625" style="63" customWidth="1"/>
    <col min="14571" max="14571" width="20.375" style="63" customWidth="1"/>
    <col min="14572" max="14572" width="22.875" style="63" customWidth="1"/>
    <col min="14573" max="14573" width="25.125" style="63" customWidth="1"/>
    <col min="14574" max="14821" width="9.875" style="63"/>
    <col min="14822" max="14822" width="8.375" style="63" customWidth="1"/>
    <col min="14823" max="14823" width="14" style="63" customWidth="1"/>
    <col min="14824" max="14824" width="17.875" style="63" customWidth="1"/>
    <col min="14825" max="14825" width="45" style="63" bestFit="1" customWidth="1"/>
    <col min="14826" max="14826" width="61.625" style="63" customWidth="1"/>
    <col min="14827" max="14827" width="20.375" style="63" customWidth="1"/>
    <col min="14828" max="14828" width="22.875" style="63" customWidth="1"/>
    <col min="14829" max="14829" width="25.125" style="63" customWidth="1"/>
    <col min="14830" max="15077" width="9.875" style="63"/>
    <col min="15078" max="15078" width="8.375" style="63" customWidth="1"/>
    <col min="15079" max="15079" width="14" style="63" customWidth="1"/>
    <col min="15080" max="15080" width="17.875" style="63" customWidth="1"/>
    <col min="15081" max="15081" width="45" style="63" bestFit="1" customWidth="1"/>
    <col min="15082" max="15082" width="61.625" style="63" customWidth="1"/>
    <col min="15083" max="15083" width="20.375" style="63" customWidth="1"/>
    <col min="15084" max="15084" width="22.875" style="63" customWidth="1"/>
    <col min="15085" max="15085" width="25.125" style="63" customWidth="1"/>
    <col min="15086" max="15333" width="9.875" style="63"/>
    <col min="15334" max="15334" width="8.375" style="63" customWidth="1"/>
    <col min="15335" max="15335" width="14" style="63" customWidth="1"/>
    <col min="15336" max="15336" width="17.875" style="63" customWidth="1"/>
    <col min="15337" max="15337" width="45" style="63" bestFit="1" customWidth="1"/>
    <col min="15338" max="15338" width="61.625" style="63" customWidth="1"/>
    <col min="15339" max="15339" width="20.375" style="63" customWidth="1"/>
    <col min="15340" max="15340" width="22.875" style="63" customWidth="1"/>
    <col min="15341" max="15341" width="25.125" style="63" customWidth="1"/>
    <col min="15342" max="15589" width="9.875" style="63"/>
    <col min="15590" max="15590" width="8.375" style="63" customWidth="1"/>
    <col min="15591" max="15591" width="14" style="63" customWidth="1"/>
    <col min="15592" max="15592" width="17.875" style="63" customWidth="1"/>
    <col min="15593" max="15593" width="45" style="63" bestFit="1" customWidth="1"/>
    <col min="15594" max="15594" width="61.625" style="63" customWidth="1"/>
    <col min="15595" max="15595" width="20.375" style="63" customWidth="1"/>
    <col min="15596" max="15596" width="22.875" style="63" customWidth="1"/>
    <col min="15597" max="15597" width="25.125" style="63" customWidth="1"/>
    <col min="15598" max="15845" width="9.875" style="63"/>
    <col min="15846" max="15846" width="8.375" style="63" customWidth="1"/>
    <col min="15847" max="15847" width="14" style="63" customWidth="1"/>
    <col min="15848" max="15848" width="17.875" style="63" customWidth="1"/>
    <col min="15849" max="15849" width="45" style="63" bestFit="1" customWidth="1"/>
    <col min="15850" max="15850" width="61.625" style="63" customWidth="1"/>
    <col min="15851" max="15851" width="20.375" style="63" customWidth="1"/>
    <col min="15852" max="15852" width="22.875" style="63" customWidth="1"/>
    <col min="15853" max="15853" width="25.125" style="63" customWidth="1"/>
    <col min="15854" max="16101" width="9.875" style="63"/>
    <col min="16102" max="16102" width="8.375" style="63" customWidth="1"/>
    <col min="16103" max="16103" width="14" style="63" customWidth="1"/>
    <col min="16104" max="16104" width="17.875" style="63" customWidth="1"/>
    <col min="16105" max="16105" width="45" style="63" bestFit="1" customWidth="1"/>
    <col min="16106" max="16106" width="61.625" style="63" customWidth="1"/>
    <col min="16107" max="16107" width="20.375" style="63" customWidth="1"/>
    <col min="16108" max="16108" width="22.875" style="63" customWidth="1"/>
    <col min="16109" max="16109" width="25.125" style="63" customWidth="1"/>
    <col min="16110" max="16384" width="9.875" style="63"/>
  </cols>
  <sheetData>
    <row r="1" spans="1:10" s="107" customFormat="1" ht="40.15" customHeight="1">
      <c r="A1" s="76" t="s">
        <v>198</v>
      </c>
      <c r="B1" s="106"/>
      <c r="C1" s="73"/>
      <c r="D1" s="73"/>
      <c r="E1" s="73"/>
      <c r="F1" s="73"/>
      <c r="G1" s="73"/>
      <c r="H1" s="73"/>
      <c r="I1" s="73"/>
      <c r="J1" s="73"/>
    </row>
    <row r="2" spans="1:10" s="74" customFormat="1" ht="19.899999999999999" customHeight="1">
      <c r="A2" s="76"/>
      <c r="B2" s="75"/>
      <c r="C2" s="73"/>
      <c r="D2" s="73"/>
      <c r="E2" s="73"/>
      <c r="F2" s="73"/>
      <c r="G2" s="73"/>
      <c r="H2" s="73"/>
      <c r="I2" s="73"/>
      <c r="J2" s="73"/>
    </row>
    <row r="3" spans="1:10" s="108" customFormat="1" ht="39.6" customHeight="1">
      <c r="A3" s="73"/>
      <c r="B3" s="1058" t="s">
        <v>199</v>
      </c>
      <c r="C3" s="1058"/>
      <c r="D3" s="1058"/>
      <c r="E3" s="1058"/>
      <c r="F3" s="1058"/>
      <c r="G3" s="1058"/>
      <c r="H3" s="1058"/>
      <c r="I3" s="1058"/>
      <c r="J3" s="73"/>
    </row>
    <row r="4" spans="1:10" s="74" customFormat="1" ht="25.15" customHeight="1">
      <c r="A4" s="73"/>
      <c r="B4" s="1055" t="s">
        <v>200</v>
      </c>
      <c r="C4" s="1056"/>
      <c r="D4" s="1056"/>
      <c r="E4" s="1056"/>
      <c r="F4" s="1056"/>
      <c r="G4" s="1056"/>
      <c r="H4" s="1056"/>
      <c r="I4" s="1057"/>
      <c r="J4" s="73"/>
    </row>
    <row r="5" spans="1:10" s="74" customFormat="1" ht="25.15" customHeight="1">
      <c r="A5" s="73"/>
      <c r="B5" s="109" t="s">
        <v>201</v>
      </c>
      <c r="C5" s="1055" t="s">
        <v>202</v>
      </c>
      <c r="D5" s="1056"/>
      <c r="E5" s="1056"/>
      <c r="F5" s="1056"/>
      <c r="G5" s="1056"/>
      <c r="H5" s="1056"/>
      <c r="I5" s="1057"/>
      <c r="J5" s="73"/>
    </row>
    <row r="6" spans="1:10" s="74" customFormat="1" ht="25.15" customHeight="1">
      <c r="A6" s="73"/>
      <c r="B6" s="109" t="s">
        <v>203</v>
      </c>
      <c r="C6" s="1055" t="s">
        <v>204</v>
      </c>
      <c r="D6" s="1056"/>
      <c r="E6" s="1056"/>
      <c r="F6" s="1056"/>
      <c r="G6" s="1056"/>
      <c r="H6" s="1056"/>
      <c r="I6" s="1057"/>
      <c r="J6" s="73"/>
    </row>
    <row r="7" spans="1:10" s="74" customFormat="1" ht="25.15" customHeight="1">
      <c r="A7" s="73"/>
      <c r="B7" s="109" t="s">
        <v>205</v>
      </c>
      <c r="C7" s="1055" t="s">
        <v>206</v>
      </c>
      <c r="D7" s="1056"/>
      <c r="E7" s="1056"/>
      <c r="F7" s="1056"/>
      <c r="G7" s="1056"/>
      <c r="H7" s="1056"/>
      <c r="I7" s="1057"/>
      <c r="J7" s="73"/>
    </row>
    <row r="8" spans="1:10" s="74" customFormat="1" ht="25.15" customHeight="1">
      <c r="A8" s="73"/>
      <c r="B8" s="110"/>
      <c r="C8" s="73"/>
      <c r="D8" s="111"/>
      <c r="E8" s="111"/>
      <c r="F8" s="111"/>
      <c r="G8" s="111"/>
      <c r="H8" s="111"/>
      <c r="I8" s="111"/>
      <c r="J8" s="73"/>
    </row>
    <row r="9" spans="1:10" s="74" customFormat="1" ht="36" customHeight="1">
      <c r="A9" s="73"/>
      <c r="B9" s="1058" t="s">
        <v>207</v>
      </c>
      <c r="C9" s="1058"/>
      <c r="D9" s="1058"/>
      <c r="E9" s="1058"/>
      <c r="F9" s="1058"/>
      <c r="G9" s="1058"/>
      <c r="H9" s="1058"/>
      <c r="I9" s="1058"/>
      <c r="J9" s="73"/>
    </row>
    <row r="10" spans="1:10" s="74" customFormat="1" ht="25.15" customHeight="1">
      <c r="A10" s="73"/>
      <c r="B10" s="1055" t="s">
        <v>208</v>
      </c>
      <c r="C10" s="1056"/>
      <c r="D10" s="1056"/>
      <c r="E10" s="1056"/>
      <c r="F10" s="1056"/>
      <c r="G10" s="1056"/>
      <c r="H10" s="1056"/>
      <c r="I10" s="1057"/>
      <c r="J10" s="73"/>
    </row>
    <row r="11" spans="1:10" s="74" customFormat="1" ht="56.45" customHeight="1">
      <c r="A11" s="73"/>
      <c r="B11" s="1059" t="s">
        <v>209</v>
      </c>
      <c r="C11" s="1052" t="s">
        <v>210</v>
      </c>
      <c r="D11" s="1053"/>
      <c r="E11" s="1053"/>
      <c r="F11" s="1053"/>
      <c r="G11" s="1053"/>
      <c r="H11" s="1053"/>
      <c r="I11" s="1054"/>
      <c r="J11" s="73"/>
    </row>
    <row r="12" spans="1:10" s="74" customFormat="1" ht="54.6" customHeight="1">
      <c r="A12" s="73"/>
      <c r="B12" s="1059"/>
      <c r="C12" s="1060" t="s">
        <v>211</v>
      </c>
      <c r="D12" s="109" t="s">
        <v>212</v>
      </c>
      <c r="E12" s="1052" t="s">
        <v>213</v>
      </c>
      <c r="F12" s="1053"/>
      <c r="G12" s="1053"/>
      <c r="H12" s="1053"/>
      <c r="I12" s="1054"/>
      <c r="J12" s="113"/>
    </row>
    <row r="13" spans="1:10" s="74" customFormat="1" ht="32.450000000000003" customHeight="1">
      <c r="A13" s="73"/>
      <c r="B13" s="1059"/>
      <c r="C13" s="1061"/>
      <c r="D13" s="109" t="s">
        <v>214</v>
      </c>
      <c r="E13" s="1052" t="s">
        <v>215</v>
      </c>
      <c r="F13" s="1053"/>
      <c r="G13" s="1053"/>
      <c r="H13" s="1053"/>
      <c r="I13" s="1054"/>
      <c r="J13" s="113"/>
    </row>
    <row r="14" spans="1:10" s="74" customFormat="1" ht="25.15" customHeight="1">
      <c r="A14" s="73"/>
      <c r="B14" s="109" t="s">
        <v>216</v>
      </c>
      <c r="C14" s="1055" t="s">
        <v>217</v>
      </c>
      <c r="D14" s="1056"/>
      <c r="E14" s="1056"/>
      <c r="F14" s="1056"/>
      <c r="G14" s="1056"/>
      <c r="H14" s="1056"/>
      <c r="I14" s="1057"/>
      <c r="J14" s="73"/>
    </row>
    <row r="15" spans="1:10" s="74" customFormat="1" ht="25.15" customHeight="1">
      <c r="A15" s="73"/>
      <c r="B15" s="73"/>
      <c r="C15" s="73"/>
      <c r="D15" s="73"/>
      <c r="E15" s="73"/>
      <c r="F15" s="73"/>
      <c r="G15" s="73"/>
      <c r="H15" s="73"/>
      <c r="I15" s="73"/>
      <c r="J15" s="73"/>
    </row>
    <row r="16" spans="1:10" ht="15.75" customHeight="1">
      <c r="A16" s="18"/>
      <c r="B16" s="18"/>
      <c r="C16" s="18"/>
      <c r="D16" s="18"/>
      <c r="E16" s="18"/>
      <c r="F16" s="18"/>
      <c r="G16" s="18"/>
      <c r="H16" s="18"/>
      <c r="I16" s="18"/>
      <c r="J16" s="18"/>
    </row>
    <row r="17" spans="1:10" ht="40.15" customHeight="1">
      <c r="A17" s="59" t="s">
        <v>218</v>
      </c>
      <c r="B17" s="60"/>
      <c r="C17" s="60"/>
      <c r="D17" s="60"/>
      <c r="E17" s="60"/>
      <c r="F17" s="60"/>
      <c r="G17" s="60"/>
      <c r="H17" s="60"/>
      <c r="I17" s="60"/>
      <c r="J17" s="114"/>
    </row>
    <row r="18" spans="1:10" ht="19.899999999999999" customHeight="1">
      <c r="A18" s="61"/>
      <c r="B18" s="62"/>
      <c r="C18" s="62"/>
      <c r="D18" s="62"/>
      <c r="E18" s="62"/>
      <c r="F18" s="62"/>
      <c r="G18" s="62"/>
      <c r="H18" s="62"/>
      <c r="I18" s="62"/>
    </row>
    <row r="19" spans="1:10" ht="40.15" customHeight="1">
      <c r="A19" s="65" t="s">
        <v>219</v>
      </c>
      <c r="B19" s="62"/>
      <c r="C19" s="66"/>
      <c r="D19" s="66"/>
      <c r="E19" s="62"/>
      <c r="F19" s="62"/>
      <c r="G19" s="62"/>
      <c r="H19" s="62"/>
      <c r="I19" s="62"/>
    </row>
    <row r="20" spans="1:10" ht="48">
      <c r="A20" s="1065" t="s">
        <v>220</v>
      </c>
      <c r="B20" s="1066"/>
      <c r="C20" s="67" t="s">
        <v>221</v>
      </c>
      <c r="D20" s="68" t="s">
        <v>222</v>
      </c>
      <c r="E20" s="68" t="s">
        <v>223</v>
      </c>
      <c r="F20" s="68" t="s">
        <v>224</v>
      </c>
      <c r="G20" s="69"/>
      <c r="H20" s="69"/>
      <c r="I20" s="69"/>
    </row>
    <row r="21" spans="1:10" ht="96">
      <c r="A21" s="1067" t="s">
        <v>225</v>
      </c>
      <c r="B21" s="1066"/>
      <c r="C21" s="70" t="s">
        <v>226</v>
      </c>
      <c r="D21" s="70" t="s">
        <v>227</v>
      </c>
      <c r="E21" s="70" t="s">
        <v>228</v>
      </c>
      <c r="F21" s="70" t="s">
        <v>229</v>
      </c>
      <c r="G21" s="69"/>
      <c r="H21" s="69"/>
      <c r="I21" s="69"/>
    </row>
    <row r="22" spans="1:10" ht="85.5">
      <c r="A22" s="1067" t="s">
        <v>230</v>
      </c>
      <c r="B22" s="1066"/>
      <c r="C22" s="70" t="s">
        <v>231</v>
      </c>
      <c r="D22" s="70" t="s">
        <v>232</v>
      </c>
      <c r="E22" s="70" t="s">
        <v>233</v>
      </c>
      <c r="F22" s="71" t="s">
        <v>234</v>
      </c>
      <c r="G22" s="62"/>
      <c r="H22" s="62"/>
      <c r="I22" s="62"/>
    </row>
    <row r="23" spans="1:10" ht="85.5">
      <c r="A23" s="1067" t="s">
        <v>235</v>
      </c>
      <c r="B23" s="1066"/>
      <c r="C23" s="70" t="s">
        <v>236</v>
      </c>
      <c r="D23" s="70" t="s">
        <v>237</v>
      </c>
      <c r="E23" s="70" t="s">
        <v>238</v>
      </c>
      <c r="F23" s="71" t="s">
        <v>239</v>
      </c>
      <c r="G23" s="62"/>
      <c r="H23" s="62"/>
      <c r="I23" s="62"/>
    </row>
    <row r="24" spans="1:10">
      <c r="A24" s="62"/>
      <c r="B24" s="62"/>
      <c r="C24" s="62"/>
      <c r="D24" s="62"/>
      <c r="E24" s="62"/>
      <c r="F24" s="62"/>
      <c r="G24" s="62"/>
      <c r="H24" s="62"/>
      <c r="I24" s="62"/>
    </row>
    <row r="25" spans="1:10" ht="24">
      <c r="A25" s="1068" t="s">
        <v>240</v>
      </c>
      <c r="B25" s="1068"/>
      <c r="C25" s="1068"/>
      <c r="D25" s="1068"/>
      <c r="E25" s="1068"/>
      <c r="F25" s="1068"/>
      <c r="G25" s="1068"/>
      <c r="H25" s="1068"/>
      <c r="I25" s="1068"/>
    </row>
    <row r="26" spans="1:10" ht="24">
      <c r="A26" s="64" t="s">
        <v>241</v>
      </c>
      <c r="B26" s="64"/>
      <c r="C26" s="64"/>
      <c r="D26" s="64"/>
      <c r="E26" s="64"/>
      <c r="F26" s="64"/>
      <c r="G26" s="64"/>
      <c r="H26" s="64"/>
      <c r="I26" s="64"/>
    </row>
    <row r="27" spans="1:10" ht="24">
      <c r="A27" s="1062" t="s">
        <v>242</v>
      </c>
      <c r="B27" s="1063"/>
      <c r="C27" s="1063"/>
      <c r="D27" s="1063"/>
      <c r="E27" s="1063"/>
      <c r="F27" s="1063"/>
      <c r="G27" s="1063"/>
      <c r="H27" s="1063"/>
      <c r="I27" s="1064"/>
    </row>
    <row r="28" spans="1:10">
      <c r="A28" s="62"/>
      <c r="B28" s="62"/>
      <c r="C28" s="62"/>
      <c r="D28" s="62"/>
      <c r="E28" s="62"/>
      <c r="F28" s="62"/>
      <c r="G28" s="62"/>
      <c r="H28" s="62"/>
      <c r="I28" s="62"/>
    </row>
    <row r="29" spans="1:10">
      <c r="A29" s="62"/>
      <c r="B29" s="62"/>
      <c r="C29" s="62"/>
      <c r="D29" s="62"/>
      <c r="E29" s="62"/>
      <c r="F29" s="62"/>
      <c r="G29" s="62"/>
      <c r="H29" s="62"/>
      <c r="I29" s="62"/>
    </row>
  </sheetData>
  <sheetProtection algorithmName="SHA-512" hashValue="ZUCQOARtzpsQNEdqgTHdNd0g18Nucjcvbd4kgngLIgZ24MlYiv2j/de1cAhT7+KwgVR6vGIyATVjqMVkG4o4Hw==" saltValue="/5CGrQ6YSuDY/uvmdEXnhA==" spinCount="100000" sheet="1" objects="1" scenarios="1"/>
  <mergeCells count="19">
    <mergeCell ref="A27:I27"/>
    <mergeCell ref="A20:B20"/>
    <mergeCell ref="A21:B21"/>
    <mergeCell ref="A22:B22"/>
    <mergeCell ref="A23:B23"/>
    <mergeCell ref="A25:I25"/>
    <mergeCell ref="C11:I11"/>
    <mergeCell ref="C14:I14"/>
    <mergeCell ref="B3:I3"/>
    <mergeCell ref="B9:I9"/>
    <mergeCell ref="B11:B13"/>
    <mergeCell ref="B4:I4"/>
    <mergeCell ref="C5:I5"/>
    <mergeCell ref="C6:I6"/>
    <mergeCell ref="C7:I7"/>
    <mergeCell ref="B10:I10"/>
    <mergeCell ref="C12:C13"/>
    <mergeCell ref="E12:I12"/>
    <mergeCell ref="E13:I13"/>
  </mergeCells>
  <phoneticPr fontId="13"/>
  <printOptions horizontalCentered="1"/>
  <pageMargins left="0.59055118110236227" right="0.59055118110236227" top="0.86614173228346458" bottom="0.39370078740157483" header="0.39370078740157483" footer="0.39370078740157483"/>
  <pageSetup paperSize="9" scale="44" fitToHeight="0" orientation="landscape" r:id="rId1"/>
  <rowBreaks count="1" manualBreakCount="1">
    <brk id="29" max="16383" man="1"/>
  </rowBreaks>
  <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060417-4CBB-40F9-B636-2DA8A646E5BE}">
  <sheetPr codeName="Sheet8"/>
  <dimension ref="A1:BH1749"/>
  <sheetViews>
    <sheetView topLeftCell="AZ8" zoomScale="70" zoomScaleNormal="70" zoomScaleSheetLayoutView="85" workbookViewId="0">
      <selection activeCell="BF15" sqref="BF15"/>
    </sheetView>
  </sheetViews>
  <sheetFormatPr defaultColWidth="9" defaultRowHeight="13.5"/>
  <cols>
    <col min="1" max="1" width="49.375" style="1" customWidth="1"/>
    <col min="2" max="2" width="9.625" style="1" customWidth="1"/>
    <col min="3" max="15" width="10.625" style="1" customWidth="1"/>
    <col min="16" max="16" width="9" style="1" customWidth="1"/>
    <col min="17" max="17" width="36.375" style="1" bestFit="1" customWidth="1"/>
    <col min="18" max="18" width="17.375" style="1" customWidth="1"/>
    <col min="19" max="19" width="9" style="1" customWidth="1"/>
    <col min="20" max="23" width="23.375" style="1" customWidth="1"/>
    <col min="24" max="24" width="17" style="1" customWidth="1"/>
    <col min="25" max="25" width="8.875" style="1" customWidth="1"/>
    <col min="26" max="26" width="13.375" style="1" customWidth="1"/>
    <col min="27" max="27" width="10.75" style="1" customWidth="1"/>
    <col min="28" max="28" width="18.125" style="1" customWidth="1"/>
    <col min="29" max="29" width="16.125" customWidth="1"/>
    <col min="30" max="30" width="12.125" style="1" customWidth="1"/>
    <col min="31" max="32" width="9" style="1"/>
    <col min="33" max="33" width="68.625" style="2" customWidth="1"/>
    <col min="34" max="34" width="12.375" style="1" customWidth="1"/>
    <col min="35" max="35" width="9" style="1"/>
    <col min="36" max="36" width="19.375" customWidth="1"/>
    <col min="37" max="38" width="9" hidden="1" customWidth="1"/>
    <col min="39" max="39" width="10.375" style="7" hidden="1" customWidth="1"/>
    <col min="40" max="40" width="10.375" style="7" customWidth="1"/>
    <col min="41" max="41" width="45.125" style="1" customWidth="1"/>
    <col min="42" max="43" width="9" style="1"/>
    <col min="44" max="44" width="53.625" style="1" customWidth="1"/>
    <col min="45" max="45" width="46.125" style="1" customWidth="1"/>
    <col min="46" max="46" width="55.625" style="1" customWidth="1"/>
    <col min="47" max="47" width="63.375" style="1" customWidth="1"/>
    <col min="48" max="48" width="97.375" style="1" customWidth="1"/>
    <col min="49" max="49" width="18" style="1" customWidth="1"/>
    <col min="50" max="50" width="51.375" style="1" customWidth="1"/>
    <col min="51" max="51" width="48.375" style="1" customWidth="1"/>
    <col min="52" max="52" width="77.625" style="2" customWidth="1"/>
    <col min="53" max="53" width="55.125" style="1" customWidth="1"/>
    <col min="54" max="54" width="42.875" style="1" customWidth="1"/>
    <col min="55" max="55" width="52.625" style="1" customWidth="1"/>
    <col min="56" max="56" width="25.25" style="1" customWidth="1"/>
    <col min="57" max="57" width="9" style="1"/>
    <col min="58" max="58" width="88.375" style="1" customWidth="1"/>
    <col min="59" max="59" width="9" style="1"/>
    <col min="60" max="60" width="13.125" style="1" bestFit="1" customWidth="1"/>
    <col min="61" max="16384" width="9" style="1"/>
  </cols>
  <sheetData>
    <row r="1" spans="1:60" ht="14.25" thickBot="1">
      <c r="A1" s="2" t="s">
        <v>243</v>
      </c>
      <c r="B1" s="2"/>
      <c r="C1" s="2"/>
      <c r="D1" s="2"/>
      <c r="E1" s="2"/>
      <c r="F1" s="2"/>
      <c r="G1" s="2"/>
      <c r="H1" s="2"/>
      <c r="I1" s="2"/>
      <c r="J1" s="2"/>
      <c r="K1" s="2"/>
      <c r="L1" s="2"/>
      <c r="M1" s="2"/>
      <c r="N1" s="2"/>
      <c r="O1" s="2"/>
      <c r="Q1" s="1" t="s">
        <v>244</v>
      </c>
      <c r="T1" s="2" t="s">
        <v>245</v>
      </c>
      <c r="V1" s="2" t="s">
        <v>246</v>
      </c>
      <c r="Y1" s="419" t="s">
        <v>247</v>
      </c>
      <c r="Z1" s="420"/>
      <c r="AA1" s="420"/>
      <c r="AB1" s="420"/>
      <c r="AC1" s="420"/>
      <c r="AD1" s="420"/>
      <c r="AE1" s="419"/>
      <c r="AF1" s="421"/>
      <c r="AG1" s="421"/>
      <c r="AH1" s="421"/>
      <c r="AJ1" s="2" t="s">
        <v>248</v>
      </c>
      <c r="AK1" s="2" t="s">
        <v>249</v>
      </c>
      <c r="AL1" s="2"/>
      <c r="AM1" s="2"/>
      <c r="AN1" s="2"/>
      <c r="AO1" s="2" t="s">
        <v>250</v>
      </c>
      <c r="AP1" s="2"/>
      <c r="AQ1" s="2"/>
      <c r="AR1" s="2" t="s">
        <v>2355</v>
      </c>
      <c r="AS1" s="2"/>
      <c r="AT1" s="2"/>
      <c r="AU1" s="2"/>
      <c r="AV1" s="2"/>
      <c r="AX1" s="2" t="s">
        <v>251</v>
      </c>
      <c r="AY1" s="2"/>
      <c r="BA1" s="2"/>
      <c r="BB1" s="2"/>
      <c r="BC1" s="2"/>
      <c r="BD1" s="2"/>
      <c r="BF1" s="2" t="s">
        <v>252</v>
      </c>
      <c r="BH1" s="2" t="s">
        <v>2188</v>
      </c>
    </row>
    <row r="2" spans="1:60" ht="14.25" thickBot="1">
      <c r="A2" s="1076" t="s">
        <v>253</v>
      </c>
      <c r="B2" s="1071" t="s">
        <v>254</v>
      </c>
      <c r="C2" s="1074" t="s">
        <v>255</v>
      </c>
      <c r="D2" s="1074"/>
      <c r="E2" s="1074"/>
      <c r="F2" s="1075"/>
      <c r="G2" s="1073" t="s">
        <v>256</v>
      </c>
      <c r="H2" s="1074"/>
      <c r="I2" s="1074"/>
      <c r="J2" s="1074"/>
      <c r="K2" s="1074"/>
      <c r="L2" s="1074"/>
      <c r="M2" s="1075"/>
      <c r="N2" s="1073" t="s">
        <v>197</v>
      </c>
      <c r="O2" s="1079" t="s">
        <v>257</v>
      </c>
      <c r="Q2" s="1081" t="s">
        <v>258</v>
      </c>
      <c r="R2" s="1082"/>
      <c r="T2" s="3" t="s">
        <v>37</v>
      </c>
      <c r="V2" s="3" t="s">
        <v>37</v>
      </c>
      <c r="W2" s="3" t="s">
        <v>259</v>
      </c>
      <c r="Y2" s="422" t="s">
        <v>260</v>
      </c>
      <c r="Z2" s="423" t="s">
        <v>261</v>
      </c>
      <c r="AA2" s="424" t="s">
        <v>37</v>
      </c>
      <c r="AB2" s="425" t="s">
        <v>262</v>
      </c>
      <c r="AC2" s="426" t="s">
        <v>263</v>
      </c>
      <c r="AD2" s="427">
        <v>0.7</v>
      </c>
      <c r="AE2" s="428">
        <v>0.55000000000000004</v>
      </c>
      <c r="AF2" s="429">
        <v>0.45</v>
      </c>
      <c r="AG2" s="422" t="s">
        <v>264</v>
      </c>
      <c r="AH2" s="430" t="s">
        <v>265</v>
      </c>
      <c r="AJ2" s="11" t="s">
        <v>266</v>
      </c>
      <c r="AK2" s="34" t="s">
        <v>267</v>
      </c>
      <c r="AL2" s="1"/>
      <c r="AM2" s="1"/>
      <c r="AN2" s="1"/>
      <c r="AO2" s="281" t="s">
        <v>253</v>
      </c>
      <c r="AP2" s="280" t="s">
        <v>268</v>
      </c>
      <c r="AQ2" s="103"/>
      <c r="AR2" s="1083" t="s">
        <v>253</v>
      </c>
      <c r="AS2" s="1086"/>
      <c r="AT2" s="1089" t="s">
        <v>2356</v>
      </c>
      <c r="AU2" s="499"/>
      <c r="AV2" s="499"/>
      <c r="AX2" s="364" t="s">
        <v>253</v>
      </c>
      <c r="AY2" s="365" t="s">
        <v>269</v>
      </c>
      <c r="AZ2" s="365"/>
      <c r="BA2" s="365"/>
      <c r="BB2" s="506"/>
      <c r="BC2" s="506"/>
      <c r="BD2" s="507"/>
      <c r="BF2" s="263" t="s">
        <v>188</v>
      </c>
      <c r="BH2" s="11" t="s">
        <v>266</v>
      </c>
    </row>
    <row r="3" spans="1:60" ht="68.25" thickBot="1">
      <c r="A3" s="1077"/>
      <c r="B3" s="1072"/>
      <c r="C3" s="298" t="s">
        <v>182</v>
      </c>
      <c r="D3" s="299" t="s">
        <v>270</v>
      </c>
      <c r="E3" s="299" t="s">
        <v>196</v>
      </c>
      <c r="F3" s="299" t="s">
        <v>271</v>
      </c>
      <c r="G3" s="298" t="s">
        <v>272</v>
      </c>
      <c r="H3" s="298" t="s">
        <v>273</v>
      </c>
      <c r="I3" s="299" t="s">
        <v>274</v>
      </c>
      <c r="J3" s="299" t="s">
        <v>275</v>
      </c>
      <c r="K3" s="299" t="s">
        <v>276</v>
      </c>
      <c r="L3" s="299" t="s">
        <v>277</v>
      </c>
      <c r="M3" s="356" t="s">
        <v>278</v>
      </c>
      <c r="N3" s="1078"/>
      <c r="O3" s="1080"/>
      <c r="P3" s="31"/>
      <c r="Q3" s="354" t="s">
        <v>279</v>
      </c>
      <c r="R3" s="355" t="s">
        <v>280</v>
      </c>
      <c r="S3" s="31"/>
      <c r="T3" s="6" t="s">
        <v>2208</v>
      </c>
      <c r="V3" s="6" t="s">
        <v>2208</v>
      </c>
      <c r="W3" s="6" t="s">
        <v>282</v>
      </c>
      <c r="Y3" s="431" t="s">
        <v>283</v>
      </c>
      <c r="Z3" s="432">
        <v>0.2</v>
      </c>
      <c r="AA3" s="433" t="s">
        <v>42</v>
      </c>
      <c r="AB3" s="434" t="s">
        <v>284</v>
      </c>
      <c r="AC3" s="435" t="str">
        <f>AA3&amp;AB3</f>
        <v>東京都千代田区</v>
      </c>
      <c r="AD3" s="436">
        <v>11.4</v>
      </c>
      <c r="AE3" s="437">
        <v>11.1</v>
      </c>
      <c r="AF3" s="438">
        <v>10.9</v>
      </c>
      <c r="AG3" s="431" t="s">
        <v>41</v>
      </c>
      <c r="AH3" s="432">
        <v>0.7</v>
      </c>
      <c r="AI3" s="31"/>
      <c r="AJ3" s="9" t="s">
        <v>285</v>
      </c>
      <c r="AK3" s="35" t="s">
        <v>285</v>
      </c>
      <c r="AL3" s="1"/>
      <c r="AM3" s="1"/>
      <c r="AN3" s="1"/>
      <c r="AO3" s="267" t="s">
        <v>2273</v>
      </c>
      <c r="AP3" s="268" t="s">
        <v>2344</v>
      </c>
      <c r="AQ3" s="374"/>
      <c r="AR3" s="1084"/>
      <c r="AS3" s="1087"/>
      <c r="AT3" s="1090"/>
      <c r="AU3" s="500"/>
      <c r="AV3" s="501"/>
      <c r="AX3" s="80" t="s">
        <v>2273</v>
      </c>
      <c r="AY3" s="80" t="s">
        <v>2362</v>
      </c>
      <c r="AZ3" s="359" t="s">
        <v>2387</v>
      </c>
      <c r="BA3" s="526" t="s">
        <v>2462</v>
      </c>
      <c r="BB3" s="84" t="s">
        <v>2388</v>
      </c>
      <c r="BC3" s="361"/>
      <c r="BD3" s="505"/>
      <c r="BF3" s="264"/>
      <c r="BH3" s="9" t="s">
        <v>285</v>
      </c>
    </row>
    <row r="4" spans="1:60" ht="68.25" thickBot="1">
      <c r="A4" s="80" t="s">
        <v>2273</v>
      </c>
      <c r="B4" s="278" t="s">
        <v>2274</v>
      </c>
      <c r="C4" s="407">
        <v>0.41700000000000004</v>
      </c>
      <c r="D4" s="407">
        <v>0.40200000000000002</v>
      </c>
      <c r="E4" s="407">
        <v>0.34700000000000003</v>
      </c>
      <c r="F4" s="407">
        <v>0.27300000000000002</v>
      </c>
      <c r="G4" s="407">
        <v>0.44600000000000001</v>
      </c>
      <c r="H4" s="407">
        <v>0.45600000000000002</v>
      </c>
      <c r="I4" s="407">
        <v>0.43099999999999999</v>
      </c>
      <c r="J4" s="407">
        <v>0.441</v>
      </c>
      <c r="K4" s="407">
        <v>0.376</v>
      </c>
      <c r="L4" s="407">
        <v>0.30199999999999999</v>
      </c>
      <c r="M4" s="415"/>
      <c r="N4" s="357" t="s">
        <v>279</v>
      </c>
      <c r="O4" s="90" t="s">
        <v>286</v>
      </c>
      <c r="P4" s="33"/>
      <c r="Q4" s="352" t="s">
        <v>272</v>
      </c>
      <c r="R4" s="347" t="s">
        <v>197</v>
      </c>
      <c r="S4" s="33"/>
      <c r="T4" s="4" t="s">
        <v>287</v>
      </c>
      <c r="V4" s="6" t="s">
        <v>2208</v>
      </c>
      <c r="W4" s="4" t="s">
        <v>288</v>
      </c>
      <c r="Y4" s="439" t="s">
        <v>283</v>
      </c>
      <c r="Z4" s="440">
        <v>0.2</v>
      </c>
      <c r="AA4" s="441" t="s">
        <v>42</v>
      </c>
      <c r="AB4" s="442" t="s">
        <v>289</v>
      </c>
      <c r="AC4" s="443" t="str">
        <f t="shared" ref="AC4:AC67" si="0">AA4&amp;AB4</f>
        <v>東京都中央区</v>
      </c>
      <c r="AD4" s="444">
        <v>11.4</v>
      </c>
      <c r="AE4" s="445">
        <v>11.1</v>
      </c>
      <c r="AF4" s="446">
        <v>10.9</v>
      </c>
      <c r="AG4" s="439" t="s">
        <v>290</v>
      </c>
      <c r="AH4" s="440">
        <v>0.7</v>
      </c>
      <c r="AI4" s="33"/>
      <c r="AJ4" s="8"/>
      <c r="AK4" s="36" t="s">
        <v>267</v>
      </c>
      <c r="AL4" s="1"/>
      <c r="AM4" s="1"/>
      <c r="AN4" s="1"/>
      <c r="AO4" s="272" t="s">
        <v>2275</v>
      </c>
      <c r="AP4" s="273" t="s">
        <v>2344</v>
      </c>
      <c r="AQ4" s="374"/>
      <c r="AR4" s="1085"/>
      <c r="AS4" s="1088"/>
      <c r="AT4" s="1091"/>
      <c r="AU4" s="500"/>
      <c r="AV4" s="501"/>
      <c r="AX4" s="10" t="s">
        <v>2275</v>
      </c>
      <c r="AY4" s="10" t="s">
        <v>2363</v>
      </c>
      <c r="AZ4" s="359" t="s">
        <v>2387</v>
      </c>
      <c r="BA4" s="526" t="s">
        <v>2462</v>
      </c>
      <c r="BB4" s="84" t="s">
        <v>2388</v>
      </c>
      <c r="BC4" s="360"/>
      <c r="BD4" s="505"/>
      <c r="BF4" s="2"/>
      <c r="BH4" s="377" t="s">
        <v>267</v>
      </c>
    </row>
    <row r="5" spans="1:60" ht="68.25" thickBot="1">
      <c r="A5" s="10" t="s">
        <v>2275</v>
      </c>
      <c r="B5" s="279" t="s">
        <v>2276</v>
      </c>
      <c r="C5" s="407">
        <v>0.34300000000000003</v>
      </c>
      <c r="D5" s="407">
        <v>0.32800000000000001</v>
      </c>
      <c r="E5" s="407">
        <v>0.27300000000000002</v>
      </c>
      <c r="F5" s="407">
        <v>0.219</v>
      </c>
      <c r="G5" s="407">
        <v>0.372</v>
      </c>
      <c r="H5" s="407">
        <v>0.38200000000000001</v>
      </c>
      <c r="I5" s="407">
        <v>0.35699999999999998</v>
      </c>
      <c r="J5" s="407">
        <v>0.36699999999999999</v>
      </c>
      <c r="K5" s="407">
        <v>0.30199999999999999</v>
      </c>
      <c r="L5" s="407">
        <v>0.248</v>
      </c>
      <c r="M5" s="416"/>
      <c r="N5" s="317" t="s">
        <v>279</v>
      </c>
      <c r="O5" s="88" t="s">
        <v>286</v>
      </c>
      <c r="P5" s="33"/>
      <c r="Q5" s="4" t="s">
        <v>273</v>
      </c>
      <c r="R5" s="348"/>
      <c r="S5" s="33"/>
      <c r="T5" s="4" t="s">
        <v>291</v>
      </c>
      <c r="V5" s="6" t="s">
        <v>2208</v>
      </c>
      <c r="W5" s="4" t="s">
        <v>292</v>
      </c>
      <c r="Y5" s="439" t="s">
        <v>283</v>
      </c>
      <c r="Z5" s="440">
        <v>0.2</v>
      </c>
      <c r="AA5" s="441" t="s">
        <v>42</v>
      </c>
      <c r="AB5" s="442" t="s">
        <v>293</v>
      </c>
      <c r="AC5" s="443" t="str">
        <f t="shared" si="0"/>
        <v>東京都港区</v>
      </c>
      <c r="AD5" s="444">
        <v>11.4</v>
      </c>
      <c r="AE5" s="445">
        <v>11.1</v>
      </c>
      <c r="AF5" s="446">
        <v>10.9</v>
      </c>
      <c r="AG5" s="447" t="s">
        <v>294</v>
      </c>
      <c r="AH5" s="440">
        <v>0.7</v>
      </c>
      <c r="AI5" s="33"/>
      <c r="AJ5" s="1"/>
      <c r="AK5" s="8"/>
      <c r="AL5" s="1"/>
      <c r="AM5" s="1"/>
      <c r="AN5" s="1"/>
      <c r="AO5" s="272" t="s">
        <v>2277</v>
      </c>
      <c r="AP5" s="273" t="s">
        <v>2344</v>
      </c>
      <c r="AQ5" s="374"/>
      <c r="AR5" s="265" t="s">
        <v>2273</v>
      </c>
      <c r="AS5" s="265" t="s">
        <v>2415</v>
      </c>
      <c r="AT5" s="266" t="s">
        <v>2357</v>
      </c>
      <c r="AU5" s="500"/>
      <c r="AV5" s="501"/>
      <c r="AX5" s="10" t="s">
        <v>2277</v>
      </c>
      <c r="AY5" s="10" t="s">
        <v>2364</v>
      </c>
      <c r="AZ5" s="359" t="s">
        <v>2387</v>
      </c>
      <c r="BA5" s="526" t="s">
        <v>2462</v>
      </c>
      <c r="BB5" s="84" t="s">
        <v>2388</v>
      </c>
      <c r="BC5" s="360"/>
      <c r="BD5" s="505"/>
      <c r="BF5" s="263" t="s">
        <v>188</v>
      </c>
      <c r="BH5" s="8"/>
    </row>
    <row r="6" spans="1:60" ht="68.25" thickBot="1">
      <c r="A6" s="10" t="s">
        <v>2277</v>
      </c>
      <c r="B6" s="279" t="s">
        <v>2278</v>
      </c>
      <c r="C6" s="407">
        <v>0.41700000000000004</v>
      </c>
      <c r="D6" s="407">
        <v>0.40200000000000002</v>
      </c>
      <c r="E6" s="407">
        <v>0.34700000000000003</v>
      </c>
      <c r="F6" s="407">
        <v>0.27300000000000002</v>
      </c>
      <c r="G6" s="407">
        <v>0.44600000000000001</v>
      </c>
      <c r="H6" s="407">
        <v>0.45600000000000002</v>
      </c>
      <c r="I6" s="407">
        <v>0.43099999999999999</v>
      </c>
      <c r="J6" s="407">
        <v>0.441</v>
      </c>
      <c r="K6" s="407">
        <v>0.376</v>
      </c>
      <c r="L6" s="407">
        <v>0.30199999999999999</v>
      </c>
      <c r="M6" s="416"/>
      <c r="N6" s="317" t="s">
        <v>279</v>
      </c>
      <c r="O6" s="88" t="s">
        <v>286</v>
      </c>
      <c r="P6" s="31"/>
      <c r="Q6" s="353" t="s">
        <v>274</v>
      </c>
      <c r="R6" s="349"/>
      <c r="S6" s="31"/>
      <c r="T6" s="4" t="s">
        <v>295</v>
      </c>
      <c r="V6" s="6" t="s">
        <v>2208</v>
      </c>
      <c r="W6" s="4" t="s">
        <v>296</v>
      </c>
      <c r="Y6" s="439" t="s">
        <v>283</v>
      </c>
      <c r="Z6" s="440">
        <v>0.2</v>
      </c>
      <c r="AA6" s="441" t="s">
        <v>42</v>
      </c>
      <c r="AB6" s="442" t="s">
        <v>297</v>
      </c>
      <c r="AC6" s="443" t="str">
        <f t="shared" si="0"/>
        <v>東京都新宿区</v>
      </c>
      <c r="AD6" s="444">
        <v>11.4</v>
      </c>
      <c r="AE6" s="445">
        <v>11.1</v>
      </c>
      <c r="AF6" s="446">
        <v>10.9</v>
      </c>
      <c r="AG6" s="439" t="s">
        <v>298</v>
      </c>
      <c r="AH6" s="440">
        <v>0.7</v>
      </c>
      <c r="AI6" s="31"/>
      <c r="AJ6" s="32"/>
      <c r="AK6" s="1"/>
      <c r="AL6" s="1"/>
      <c r="AM6" s="1"/>
      <c r="AN6" s="1"/>
      <c r="AO6" s="272" t="s">
        <v>2279</v>
      </c>
      <c r="AP6" s="273" t="s">
        <v>2344</v>
      </c>
      <c r="AQ6" s="374"/>
      <c r="AR6" s="269" t="s">
        <v>2275</v>
      </c>
      <c r="AS6" s="269" t="s">
        <v>2416</v>
      </c>
      <c r="AT6" s="270" t="s">
        <v>2358</v>
      </c>
      <c r="AU6" s="500"/>
      <c r="AV6" s="501"/>
      <c r="AX6" s="10" t="s">
        <v>2279</v>
      </c>
      <c r="AY6" s="10" t="s">
        <v>2365</v>
      </c>
      <c r="AZ6" s="359" t="s">
        <v>2387</v>
      </c>
      <c r="BA6" s="526" t="s">
        <v>2462</v>
      </c>
      <c r="BB6" s="84" t="s">
        <v>2388</v>
      </c>
      <c r="BC6" s="360"/>
      <c r="BD6" s="505"/>
      <c r="BF6" s="271" t="s">
        <v>189</v>
      </c>
    </row>
    <row r="7" spans="1:60" ht="68.25" thickBot="1">
      <c r="A7" s="628" t="s">
        <v>2279</v>
      </c>
      <c r="B7" s="279" t="s">
        <v>2280</v>
      </c>
      <c r="C7" s="407">
        <v>0.38200000000000001</v>
      </c>
      <c r="D7" s="407">
        <v>0.36699999999999999</v>
      </c>
      <c r="E7" s="407">
        <v>0.312</v>
      </c>
      <c r="F7" s="407">
        <v>0.24799999999999997</v>
      </c>
      <c r="G7" s="630">
        <v>0.41099999999999998</v>
      </c>
      <c r="H7" s="407">
        <v>0.42099999999999999</v>
      </c>
      <c r="I7" s="407">
        <v>0.39600000000000002</v>
      </c>
      <c r="J7" s="407">
        <v>0.40600000000000003</v>
      </c>
      <c r="K7" s="407">
        <v>0.34100000000000003</v>
      </c>
      <c r="L7" s="407">
        <v>0.27700000000000002</v>
      </c>
      <c r="M7" s="416"/>
      <c r="N7" s="317" t="s">
        <v>279</v>
      </c>
      <c r="O7" s="88" t="s">
        <v>286</v>
      </c>
      <c r="P7" s="33"/>
      <c r="Q7" s="4" t="s">
        <v>275</v>
      </c>
      <c r="R7" s="348"/>
      <c r="S7" s="33"/>
      <c r="T7" s="4" t="s">
        <v>299</v>
      </c>
      <c r="V7" s="6" t="s">
        <v>2208</v>
      </c>
      <c r="W7" s="4" t="s">
        <v>300</v>
      </c>
      <c r="Y7" s="439" t="s">
        <v>283</v>
      </c>
      <c r="Z7" s="440">
        <v>0.2</v>
      </c>
      <c r="AA7" s="441" t="s">
        <v>42</v>
      </c>
      <c r="AB7" s="442" t="s">
        <v>301</v>
      </c>
      <c r="AC7" s="443" t="str">
        <f t="shared" si="0"/>
        <v>東京都文京区</v>
      </c>
      <c r="AD7" s="444">
        <v>11.4</v>
      </c>
      <c r="AE7" s="445">
        <v>11.1</v>
      </c>
      <c r="AF7" s="446">
        <v>10.9</v>
      </c>
      <c r="AG7" s="439" t="s">
        <v>302</v>
      </c>
      <c r="AH7" s="440">
        <v>0.7</v>
      </c>
      <c r="AI7" s="33"/>
      <c r="AJ7" s="1"/>
      <c r="AK7" s="1"/>
      <c r="AL7" s="1"/>
      <c r="AM7" s="1"/>
      <c r="AN7" s="1"/>
      <c r="AO7" s="272" t="s">
        <v>2281</v>
      </c>
      <c r="AP7" s="273" t="s">
        <v>2344</v>
      </c>
      <c r="AQ7" s="374"/>
      <c r="AR7" s="269" t="s">
        <v>2277</v>
      </c>
      <c r="AS7" s="269" t="s">
        <v>2417</v>
      </c>
      <c r="AT7" s="270" t="s">
        <v>2357</v>
      </c>
      <c r="AU7" s="500"/>
      <c r="AV7" s="501"/>
      <c r="AX7" s="10" t="s">
        <v>2281</v>
      </c>
      <c r="AY7" s="10" t="s">
        <v>2366</v>
      </c>
      <c r="AZ7" s="359" t="s">
        <v>2387</v>
      </c>
      <c r="BA7" s="526" t="s">
        <v>2462</v>
      </c>
      <c r="BB7" s="84" t="s">
        <v>2388</v>
      </c>
      <c r="BC7" s="360"/>
      <c r="BD7" s="505"/>
      <c r="BF7" s="271" t="s">
        <v>2189</v>
      </c>
    </row>
    <row r="8" spans="1:60" ht="68.25" thickBot="1">
      <c r="A8" s="617" t="s">
        <v>2281</v>
      </c>
      <c r="B8" s="279" t="s">
        <v>2282</v>
      </c>
      <c r="C8" s="407">
        <v>0.223</v>
      </c>
      <c r="D8" s="408"/>
      <c r="E8" s="407">
        <v>0.16200000000000001</v>
      </c>
      <c r="F8" s="407">
        <v>0.13800000000000001</v>
      </c>
      <c r="G8" s="407">
        <v>0.252</v>
      </c>
      <c r="H8" s="407">
        <v>0.26200000000000001</v>
      </c>
      <c r="I8" s="408"/>
      <c r="J8" s="408"/>
      <c r="K8" s="407">
        <v>0.191</v>
      </c>
      <c r="L8" s="407">
        <v>0.16700000000000001</v>
      </c>
      <c r="M8" s="416"/>
      <c r="N8" s="317" t="s">
        <v>279</v>
      </c>
      <c r="O8" s="88" t="s">
        <v>303</v>
      </c>
      <c r="P8" s="33"/>
      <c r="Q8" s="4" t="s">
        <v>276</v>
      </c>
      <c r="R8" s="348"/>
      <c r="S8" s="33"/>
      <c r="T8" s="4" t="s">
        <v>304</v>
      </c>
      <c r="V8" s="6" t="s">
        <v>2208</v>
      </c>
      <c r="W8" s="4" t="s">
        <v>305</v>
      </c>
      <c r="Y8" s="439" t="s">
        <v>283</v>
      </c>
      <c r="Z8" s="440">
        <v>0.2</v>
      </c>
      <c r="AA8" s="441" t="s">
        <v>42</v>
      </c>
      <c r="AB8" s="442" t="s">
        <v>306</v>
      </c>
      <c r="AC8" s="443" t="str">
        <f t="shared" si="0"/>
        <v>東京都台東区</v>
      </c>
      <c r="AD8" s="444">
        <v>11.4</v>
      </c>
      <c r="AE8" s="445">
        <v>11.1</v>
      </c>
      <c r="AF8" s="446">
        <v>10.9</v>
      </c>
      <c r="AG8" s="439" t="s">
        <v>307</v>
      </c>
      <c r="AH8" s="440">
        <v>0.45</v>
      </c>
      <c r="AI8" s="33"/>
      <c r="AJ8" s="1"/>
      <c r="AK8" s="1"/>
      <c r="AL8" s="1"/>
      <c r="AM8" s="1"/>
      <c r="AN8" s="1"/>
      <c r="AO8" s="272" t="s">
        <v>2283</v>
      </c>
      <c r="AP8" s="273" t="s">
        <v>2344</v>
      </c>
      <c r="AQ8" s="374"/>
      <c r="AR8" s="269" t="s">
        <v>2279</v>
      </c>
      <c r="AS8" s="269" t="s">
        <v>2418</v>
      </c>
      <c r="AT8" s="270" t="s">
        <v>2358</v>
      </c>
      <c r="AU8" s="500"/>
      <c r="AV8" s="501"/>
      <c r="AX8" s="10" t="s">
        <v>2283</v>
      </c>
      <c r="AY8" s="10" t="s">
        <v>2367</v>
      </c>
      <c r="AZ8" s="359" t="s">
        <v>2387</v>
      </c>
      <c r="BA8" s="526" t="s">
        <v>2462</v>
      </c>
      <c r="BB8" s="84" t="s">
        <v>2388</v>
      </c>
      <c r="BC8" s="360"/>
      <c r="BD8" s="505"/>
      <c r="BF8" s="264"/>
    </row>
    <row r="9" spans="1:60" ht="68.25" thickBot="1">
      <c r="A9" s="10" t="s">
        <v>2283</v>
      </c>
      <c r="B9" s="279" t="s">
        <v>2284</v>
      </c>
      <c r="C9" s="407">
        <v>8.0999999999999989E-2</v>
      </c>
      <c r="D9" s="407">
        <v>7.9999999999999988E-2</v>
      </c>
      <c r="E9" s="407">
        <v>6.699999999999999E-2</v>
      </c>
      <c r="F9" s="407">
        <v>5.4999999999999993E-2</v>
      </c>
      <c r="G9" s="407">
        <v>9.2999999999999999E-2</v>
      </c>
      <c r="H9" s="407">
        <v>9.7000000000000003E-2</v>
      </c>
      <c r="I9" s="407">
        <v>9.1999999999999998E-2</v>
      </c>
      <c r="J9" s="407">
        <v>9.6000000000000002E-2</v>
      </c>
      <c r="K9" s="407">
        <v>7.9000000000000001E-2</v>
      </c>
      <c r="L9" s="407">
        <v>6.7000000000000004E-2</v>
      </c>
      <c r="M9" s="416"/>
      <c r="N9" s="317" t="s">
        <v>279</v>
      </c>
      <c r="O9" s="88" t="s">
        <v>286</v>
      </c>
      <c r="P9" s="33"/>
      <c r="Q9" s="5" t="s">
        <v>277</v>
      </c>
      <c r="R9" s="350"/>
      <c r="S9" s="33"/>
      <c r="T9" s="4" t="s">
        <v>308</v>
      </c>
      <c r="V9" s="6" t="s">
        <v>2208</v>
      </c>
      <c r="W9" s="4" t="s">
        <v>309</v>
      </c>
      <c r="Y9" s="439" t="s">
        <v>283</v>
      </c>
      <c r="Z9" s="440">
        <v>0.2</v>
      </c>
      <c r="AA9" s="441" t="s">
        <v>42</v>
      </c>
      <c r="AB9" s="442" t="s">
        <v>310</v>
      </c>
      <c r="AC9" s="443" t="str">
        <f t="shared" si="0"/>
        <v>東京都墨田区</v>
      </c>
      <c r="AD9" s="444">
        <v>11.4</v>
      </c>
      <c r="AE9" s="445">
        <v>11.1</v>
      </c>
      <c r="AF9" s="446">
        <v>10.9</v>
      </c>
      <c r="AG9" s="439" t="s">
        <v>311</v>
      </c>
      <c r="AH9" s="440">
        <v>0.45</v>
      </c>
      <c r="AI9" s="33"/>
      <c r="AJ9" s="1"/>
      <c r="AK9" s="1"/>
      <c r="AL9" s="1"/>
      <c r="AM9" s="1"/>
      <c r="AN9" s="1"/>
      <c r="AO9" s="272" t="s">
        <v>2285</v>
      </c>
      <c r="AP9" s="273" t="s">
        <v>2344</v>
      </c>
      <c r="AQ9" s="374"/>
      <c r="AR9" s="269" t="s">
        <v>2281</v>
      </c>
      <c r="AS9" s="269" t="s">
        <v>2419</v>
      </c>
      <c r="AT9" s="270" t="s">
        <v>2359</v>
      </c>
      <c r="AU9" s="500"/>
      <c r="AV9" s="500"/>
      <c r="AX9" s="10" t="s">
        <v>2285</v>
      </c>
      <c r="AY9" s="10" t="s">
        <v>2368</v>
      </c>
      <c r="AZ9" s="359" t="s">
        <v>2387</v>
      </c>
      <c r="BA9" s="526" t="s">
        <v>2462</v>
      </c>
      <c r="BB9" s="84" t="s">
        <v>2388</v>
      </c>
      <c r="BC9" s="360"/>
      <c r="BD9" s="505"/>
      <c r="BF9" s="2"/>
    </row>
    <row r="10" spans="1:60" ht="68.25" thickBot="1">
      <c r="A10" s="617" t="s">
        <v>2285</v>
      </c>
      <c r="B10" s="279" t="s">
        <v>2286</v>
      </c>
      <c r="C10" s="407">
        <v>0.159</v>
      </c>
      <c r="D10" s="408"/>
      <c r="E10" s="407">
        <v>0.13799999999999998</v>
      </c>
      <c r="F10" s="407">
        <v>0.11499999999999999</v>
      </c>
      <c r="G10" s="407">
        <v>0.186</v>
      </c>
      <c r="H10" s="407">
        <v>0.193</v>
      </c>
      <c r="I10" s="408"/>
      <c r="J10" s="408"/>
      <c r="K10" s="407">
        <v>0.16500000000000001</v>
      </c>
      <c r="L10" s="407">
        <v>0.14199999999999999</v>
      </c>
      <c r="M10" s="416"/>
      <c r="N10" s="317" t="s">
        <v>279</v>
      </c>
      <c r="O10" s="88" t="s">
        <v>286</v>
      </c>
      <c r="P10" s="33"/>
      <c r="Q10" s="2"/>
      <c r="R10" s="2"/>
      <c r="S10" s="33"/>
      <c r="T10" s="4" t="s">
        <v>313</v>
      </c>
      <c r="V10" s="6" t="s">
        <v>2208</v>
      </c>
      <c r="W10" s="4" t="s">
        <v>314</v>
      </c>
      <c r="Y10" s="439" t="s">
        <v>283</v>
      </c>
      <c r="Z10" s="440">
        <v>0.2</v>
      </c>
      <c r="AA10" s="441" t="s">
        <v>42</v>
      </c>
      <c r="AB10" s="442" t="s">
        <v>315</v>
      </c>
      <c r="AC10" s="443" t="str">
        <f t="shared" si="0"/>
        <v>東京都江東区</v>
      </c>
      <c r="AD10" s="444">
        <v>11.4</v>
      </c>
      <c r="AE10" s="445">
        <v>11.1</v>
      </c>
      <c r="AF10" s="446">
        <v>10.9</v>
      </c>
      <c r="AG10" s="439" t="s">
        <v>316</v>
      </c>
      <c r="AH10" s="440">
        <v>0.55000000000000004</v>
      </c>
      <c r="AI10" s="33"/>
      <c r="AJ10" s="1"/>
      <c r="AK10" s="1"/>
      <c r="AL10" s="1"/>
      <c r="AM10" s="1"/>
      <c r="AN10" s="1"/>
      <c r="AO10" s="272" t="s">
        <v>2345</v>
      </c>
      <c r="AP10" s="273" t="s">
        <v>2344</v>
      </c>
      <c r="AQ10" s="374"/>
      <c r="AR10" s="269" t="s">
        <v>2283</v>
      </c>
      <c r="AS10" s="269" t="s">
        <v>2420</v>
      </c>
      <c r="AT10" s="270" t="s">
        <v>2360</v>
      </c>
      <c r="AU10" s="500"/>
      <c r="AV10" s="501"/>
      <c r="AX10" s="10" t="s">
        <v>2287</v>
      </c>
      <c r="AY10" s="10" t="s">
        <v>2369</v>
      </c>
      <c r="AZ10" s="359" t="s">
        <v>2387</v>
      </c>
      <c r="BA10" s="526" t="s">
        <v>2462</v>
      </c>
      <c r="BB10" s="84" t="s">
        <v>2388</v>
      </c>
      <c r="BC10" s="360"/>
      <c r="BD10" s="505"/>
      <c r="BF10" s="351" t="s">
        <v>312</v>
      </c>
    </row>
    <row r="11" spans="1:60" ht="68.25" thickBot="1">
      <c r="A11" s="617" t="s">
        <v>2287</v>
      </c>
      <c r="B11" s="279" t="s">
        <v>2288</v>
      </c>
      <c r="C11" s="407">
        <v>0.159</v>
      </c>
      <c r="D11" s="408"/>
      <c r="E11" s="407">
        <v>0.13799999999999998</v>
      </c>
      <c r="F11" s="407">
        <v>0.11499999999999999</v>
      </c>
      <c r="G11" s="407">
        <v>0.186</v>
      </c>
      <c r="H11" s="407">
        <v>0.193</v>
      </c>
      <c r="I11" s="408"/>
      <c r="J11" s="408"/>
      <c r="K11" s="407">
        <v>0.16500000000000001</v>
      </c>
      <c r="L11" s="407">
        <v>0.14199999999999999</v>
      </c>
      <c r="M11" s="416"/>
      <c r="N11" s="317" t="s">
        <v>279</v>
      </c>
      <c r="O11" s="88" t="s">
        <v>286</v>
      </c>
      <c r="P11" s="33"/>
      <c r="Q11" s="2"/>
      <c r="R11" s="2"/>
      <c r="S11" s="33"/>
      <c r="T11" s="4" t="s">
        <v>317</v>
      </c>
      <c r="V11" s="6" t="s">
        <v>2208</v>
      </c>
      <c r="W11" s="4" t="s">
        <v>318</v>
      </c>
      <c r="Y11" s="439" t="s">
        <v>283</v>
      </c>
      <c r="Z11" s="440">
        <v>0.2</v>
      </c>
      <c r="AA11" s="441" t="s">
        <v>42</v>
      </c>
      <c r="AB11" s="442" t="s">
        <v>319</v>
      </c>
      <c r="AC11" s="443" t="str">
        <f t="shared" si="0"/>
        <v>東京都品川区</v>
      </c>
      <c r="AD11" s="444">
        <v>11.4</v>
      </c>
      <c r="AE11" s="445">
        <v>11.1</v>
      </c>
      <c r="AF11" s="446">
        <v>10.9</v>
      </c>
      <c r="AG11" s="439" t="s">
        <v>320</v>
      </c>
      <c r="AH11" s="440">
        <v>0.55000000000000004</v>
      </c>
      <c r="AI11" s="33"/>
      <c r="AJ11" s="1"/>
      <c r="AK11" s="1"/>
      <c r="AL11" s="1"/>
      <c r="AM11" s="1"/>
      <c r="AN11" s="1"/>
      <c r="AO11" s="272" t="s">
        <v>2289</v>
      </c>
      <c r="AP11" s="273" t="s">
        <v>2344</v>
      </c>
      <c r="AQ11" s="374"/>
      <c r="AR11" s="269" t="s">
        <v>2285</v>
      </c>
      <c r="AS11" s="269" t="s">
        <v>2421</v>
      </c>
      <c r="AT11" s="270" t="s">
        <v>2359</v>
      </c>
      <c r="AU11" s="500"/>
      <c r="AV11" s="501"/>
      <c r="AX11" s="10" t="s">
        <v>2289</v>
      </c>
      <c r="AY11" s="10" t="s">
        <v>2370</v>
      </c>
      <c r="AZ11" s="359" t="s">
        <v>2387</v>
      </c>
      <c r="BA11" s="526" t="s">
        <v>2462</v>
      </c>
      <c r="BB11" s="84" t="s">
        <v>2388</v>
      </c>
      <c r="BC11" s="360"/>
      <c r="BD11" s="505"/>
      <c r="BF11" s="263" t="s">
        <v>188</v>
      </c>
    </row>
    <row r="12" spans="1:60" ht="68.25" thickBot="1">
      <c r="A12" s="10" t="s">
        <v>2289</v>
      </c>
      <c r="B12" s="279" t="s">
        <v>2290</v>
      </c>
      <c r="C12" s="407">
        <v>0.13700000000000001</v>
      </c>
      <c r="D12" s="407">
        <v>0.13500000000000001</v>
      </c>
      <c r="E12" s="407">
        <v>0.11599999999999999</v>
      </c>
      <c r="F12" s="407">
        <v>9.9000000000000005E-2</v>
      </c>
      <c r="G12" s="407">
        <v>0.16400000000000001</v>
      </c>
      <c r="H12" s="407">
        <v>0.17100000000000001</v>
      </c>
      <c r="I12" s="407">
        <v>0.16200000000000001</v>
      </c>
      <c r="J12" s="407">
        <v>0.16900000000000001</v>
      </c>
      <c r="K12" s="407">
        <v>0.14299999999999999</v>
      </c>
      <c r="L12" s="407">
        <v>0.126</v>
      </c>
      <c r="M12" s="416"/>
      <c r="N12" s="317" t="s">
        <v>279</v>
      </c>
      <c r="O12" s="88" t="s">
        <v>303</v>
      </c>
      <c r="P12" s="33"/>
      <c r="Q12" s="33"/>
      <c r="R12" s="33"/>
      <c r="S12" s="33"/>
      <c r="T12" s="4" t="s">
        <v>321</v>
      </c>
      <c r="V12" s="6" t="s">
        <v>2208</v>
      </c>
      <c r="W12" s="4" t="s">
        <v>322</v>
      </c>
      <c r="Y12" s="439" t="s">
        <v>283</v>
      </c>
      <c r="Z12" s="440">
        <v>0.2</v>
      </c>
      <c r="AA12" s="441" t="s">
        <v>42</v>
      </c>
      <c r="AB12" s="442" t="s">
        <v>323</v>
      </c>
      <c r="AC12" s="443" t="str">
        <f t="shared" si="0"/>
        <v>東京都目黒区</v>
      </c>
      <c r="AD12" s="444">
        <v>11.4</v>
      </c>
      <c r="AE12" s="445">
        <v>11.1</v>
      </c>
      <c r="AF12" s="446">
        <v>10.9</v>
      </c>
      <c r="AG12" s="439" t="s">
        <v>324</v>
      </c>
      <c r="AH12" s="440">
        <v>0.45</v>
      </c>
      <c r="AI12" s="33"/>
      <c r="AJ12" s="1"/>
      <c r="AK12" s="1"/>
      <c r="AL12" s="1"/>
      <c r="AM12" s="1"/>
      <c r="AN12" s="1"/>
      <c r="AO12" s="272" t="s">
        <v>2291</v>
      </c>
      <c r="AP12" s="273" t="s">
        <v>2344</v>
      </c>
      <c r="AQ12" s="374"/>
      <c r="AR12" s="269" t="s">
        <v>2345</v>
      </c>
      <c r="AS12" s="269" t="s">
        <v>2422</v>
      </c>
      <c r="AT12" s="270" t="s">
        <v>2359</v>
      </c>
      <c r="AU12" s="500"/>
      <c r="AV12" s="500"/>
      <c r="AX12" s="10" t="s">
        <v>2291</v>
      </c>
      <c r="AY12" s="10" t="s">
        <v>2452</v>
      </c>
      <c r="AZ12" s="359" t="s">
        <v>2387</v>
      </c>
      <c r="BA12" s="526" t="s">
        <v>2462</v>
      </c>
      <c r="BB12" s="84" t="s">
        <v>2388</v>
      </c>
      <c r="BC12" s="360"/>
      <c r="BD12" s="505"/>
      <c r="BF12" s="271" t="s">
        <v>189</v>
      </c>
    </row>
    <row r="13" spans="1:60" ht="68.25" thickBot="1">
      <c r="A13" s="10" t="s">
        <v>2291</v>
      </c>
      <c r="B13" s="279" t="s">
        <v>2292</v>
      </c>
      <c r="C13" s="407">
        <v>0.13800000000000001</v>
      </c>
      <c r="D13" s="407">
        <v>0.13400000000000001</v>
      </c>
      <c r="E13" s="407">
        <v>9.8000000000000004E-2</v>
      </c>
      <c r="F13" s="407">
        <v>0.08</v>
      </c>
      <c r="G13" s="407">
        <v>0.16400000000000001</v>
      </c>
      <c r="H13" s="407">
        <v>0.17100000000000001</v>
      </c>
      <c r="I13" s="407">
        <v>0.16</v>
      </c>
      <c r="J13" s="407">
        <v>0.16700000000000001</v>
      </c>
      <c r="K13" s="407">
        <v>0.124</v>
      </c>
      <c r="L13" s="407">
        <v>0.106</v>
      </c>
      <c r="M13" s="417"/>
      <c r="N13" s="317" t="s">
        <v>279</v>
      </c>
      <c r="O13" s="88" t="s">
        <v>286</v>
      </c>
      <c r="P13" s="33"/>
      <c r="Q13" s="33"/>
      <c r="R13" s="33"/>
      <c r="S13" s="33"/>
      <c r="T13" s="4" t="s">
        <v>326</v>
      </c>
      <c r="V13" s="6" t="s">
        <v>2208</v>
      </c>
      <c r="W13" s="4" t="s">
        <v>327</v>
      </c>
      <c r="Y13" s="439" t="s">
        <v>283</v>
      </c>
      <c r="Z13" s="440">
        <v>0.2</v>
      </c>
      <c r="AA13" s="441" t="s">
        <v>42</v>
      </c>
      <c r="AB13" s="442" t="s">
        <v>328</v>
      </c>
      <c r="AC13" s="443" t="str">
        <f t="shared" si="0"/>
        <v>東京都大田区</v>
      </c>
      <c r="AD13" s="444">
        <v>11.4</v>
      </c>
      <c r="AE13" s="445">
        <v>11.1</v>
      </c>
      <c r="AF13" s="446">
        <v>10.9</v>
      </c>
      <c r="AG13" s="439" t="s">
        <v>325</v>
      </c>
      <c r="AH13" s="440">
        <v>0.45</v>
      </c>
      <c r="AI13" s="33"/>
      <c r="AJ13" s="1"/>
      <c r="AK13" s="1"/>
      <c r="AL13" s="1"/>
      <c r="AM13" s="1"/>
      <c r="AN13" s="1"/>
      <c r="AO13" s="272" t="s">
        <v>2293</v>
      </c>
      <c r="AP13" s="273" t="s">
        <v>2344</v>
      </c>
      <c r="AQ13" s="374"/>
      <c r="AR13" s="269" t="s">
        <v>2289</v>
      </c>
      <c r="AS13" s="269" t="s">
        <v>2423</v>
      </c>
      <c r="AT13" s="270" t="s">
        <v>2360</v>
      </c>
      <c r="AU13" s="500"/>
      <c r="AV13" s="500"/>
      <c r="AX13" s="10" t="s">
        <v>2293</v>
      </c>
      <c r="AY13" s="10" t="s">
        <v>2439</v>
      </c>
      <c r="AZ13" s="359" t="s">
        <v>2387</v>
      </c>
      <c r="BA13" s="526" t="s">
        <v>2462</v>
      </c>
      <c r="BB13" s="84" t="s">
        <v>2388</v>
      </c>
      <c r="BC13" s="360"/>
      <c r="BD13" s="505"/>
      <c r="BF13" s="271" t="s">
        <v>2189</v>
      </c>
    </row>
    <row r="14" spans="1:60" ht="68.25" thickBot="1">
      <c r="A14" s="10" t="s">
        <v>2293</v>
      </c>
      <c r="B14" s="279" t="s">
        <v>2294</v>
      </c>
      <c r="C14" s="407">
        <v>0.13800000000000001</v>
      </c>
      <c r="D14" s="407">
        <v>0.13400000000000001</v>
      </c>
      <c r="E14" s="407">
        <v>9.8000000000000004E-2</v>
      </c>
      <c r="F14" s="407">
        <v>0.08</v>
      </c>
      <c r="G14" s="407">
        <v>0.16400000000000001</v>
      </c>
      <c r="H14" s="407">
        <v>0.17100000000000001</v>
      </c>
      <c r="I14" s="407">
        <v>0.16</v>
      </c>
      <c r="J14" s="407">
        <v>0.16700000000000001</v>
      </c>
      <c r="K14" s="407">
        <v>0.124</v>
      </c>
      <c r="L14" s="407">
        <v>0.106</v>
      </c>
      <c r="M14" s="417"/>
      <c r="N14" s="317" t="s">
        <v>279</v>
      </c>
      <c r="O14" s="88" t="s">
        <v>330</v>
      </c>
      <c r="P14" s="33"/>
      <c r="Q14" s="33"/>
      <c r="R14" s="33"/>
      <c r="S14" s="33"/>
      <c r="T14" s="4" t="s">
        <v>331</v>
      </c>
      <c r="V14" s="6" t="s">
        <v>2208</v>
      </c>
      <c r="W14" s="4" t="s">
        <v>332</v>
      </c>
      <c r="Y14" s="439" t="s">
        <v>283</v>
      </c>
      <c r="Z14" s="440">
        <v>0.2</v>
      </c>
      <c r="AA14" s="441" t="s">
        <v>42</v>
      </c>
      <c r="AB14" s="442" t="s">
        <v>333</v>
      </c>
      <c r="AC14" s="443" t="str">
        <f t="shared" si="0"/>
        <v>東京都世田谷区</v>
      </c>
      <c r="AD14" s="444">
        <v>11.4</v>
      </c>
      <c r="AE14" s="445">
        <v>11.1</v>
      </c>
      <c r="AF14" s="446">
        <v>10.9</v>
      </c>
      <c r="AG14" s="439" t="s">
        <v>334</v>
      </c>
      <c r="AH14" s="440">
        <v>0.45</v>
      </c>
      <c r="AI14" s="33"/>
      <c r="AJ14" s="1"/>
      <c r="AK14" s="1"/>
      <c r="AL14" s="1"/>
      <c r="AM14" s="1"/>
      <c r="AN14" s="1"/>
      <c r="AO14" s="272" t="s">
        <v>2346</v>
      </c>
      <c r="AP14" s="273" t="s">
        <v>2344</v>
      </c>
      <c r="AQ14" s="374"/>
      <c r="AR14" s="269" t="s">
        <v>2291</v>
      </c>
      <c r="AS14" s="269" t="s">
        <v>2440</v>
      </c>
      <c r="AT14" s="270" t="s">
        <v>2360</v>
      </c>
      <c r="AU14" s="500"/>
      <c r="AV14" s="500"/>
      <c r="AX14" s="10" t="s">
        <v>2295</v>
      </c>
      <c r="AY14" s="10" t="s">
        <v>2371</v>
      </c>
      <c r="AZ14" s="359" t="s">
        <v>2387</v>
      </c>
      <c r="BA14" s="526" t="s">
        <v>2462</v>
      </c>
      <c r="BB14" s="84" t="s">
        <v>2388</v>
      </c>
      <c r="BC14" s="360"/>
      <c r="BD14" s="505"/>
      <c r="BF14" s="264"/>
    </row>
    <row r="15" spans="1:60" ht="68.25" thickBot="1">
      <c r="A15" s="628" t="s">
        <v>2295</v>
      </c>
      <c r="B15" s="279" t="s">
        <v>2296</v>
      </c>
      <c r="C15" s="407">
        <v>0.13800000000000001</v>
      </c>
      <c r="D15" s="407">
        <v>0.13400000000000001</v>
      </c>
      <c r="E15" s="407">
        <v>9.8000000000000004E-2</v>
      </c>
      <c r="F15" s="407">
        <v>0.08</v>
      </c>
      <c r="G15" s="407">
        <v>0.16400000000000001</v>
      </c>
      <c r="H15" s="407">
        <v>0.17100000000000001</v>
      </c>
      <c r="I15" s="407">
        <v>0.16</v>
      </c>
      <c r="J15" s="407">
        <v>0.16700000000000001</v>
      </c>
      <c r="K15" s="407">
        <v>0.124</v>
      </c>
      <c r="L15" s="630">
        <v>0.106</v>
      </c>
      <c r="M15" s="417"/>
      <c r="N15" s="317" t="s">
        <v>279</v>
      </c>
      <c r="O15" s="88" t="s">
        <v>303</v>
      </c>
      <c r="P15" s="33"/>
      <c r="Q15" s="33"/>
      <c r="R15" s="33"/>
      <c r="S15" s="33"/>
      <c r="T15" s="4" t="s">
        <v>4</v>
      </c>
      <c r="V15" s="6" t="s">
        <v>2208</v>
      </c>
      <c r="W15" s="4" t="s">
        <v>335</v>
      </c>
      <c r="Y15" s="439" t="s">
        <v>283</v>
      </c>
      <c r="Z15" s="440">
        <v>0.2</v>
      </c>
      <c r="AA15" s="441" t="s">
        <v>42</v>
      </c>
      <c r="AB15" s="442" t="s">
        <v>336</v>
      </c>
      <c r="AC15" s="443" t="str">
        <f t="shared" si="0"/>
        <v>東京都渋谷区</v>
      </c>
      <c r="AD15" s="444">
        <v>11.4</v>
      </c>
      <c r="AE15" s="445">
        <v>11.1</v>
      </c>
      <c r="AF15" s="446">
        <v>10.9</v>
      </c>
      <c r="AG15" s="439" t="s">
        <v>337</v>
      </c>
      <c r="AH15" s="440">
        <v>0.45</v>
      </c>
      <c r="AI15" s="33"/>
      <c r="AJ15" s="1"/>
      <c r="AK15" s="1"/>
      <c r="AL15" s="1"/>
      <c r="AM15" s="1"/>
      <c r="AN15" s="1"/>
      <c r="AO15" s="272" t="s">
        <v>2347</v>
      </c>
      <c r="AP15" s="273" t="s">
        <v>2344</v>
      </c>
      <c r="AQ15" s="374"/>
      <c r="AR15" s="269" t="s">
        <v>2293</v>
      </c>
      <c r="AS15" s="269" t="s">
        <v>2441</v>
      </c>
      <c r="AT15" s="270" t="s">
        <v>2360</v>
      </c>
      <c r="AU15" s="500"/>
      <c r="AV15" s="500"/>
      <c r="AX15" s="10" t="s">
        <v>2297</v>
      </c>
      <c r="AY15" s="10" t="s">
        <v>2372</v>
      </c>
      <c r="AZ15" s="359" t="s">
        <v>2387</v>
      </c>
      <c r="BA15" s="526" t="s">
        <v>2462</v>
      </c>
      <c r="BB15" s="84" t="s">
        <v>2388</v>
      </c>
      <c r="BC15" s="360"/>
      <c r="BD15" s="505"/>
      <c r="BF15" s="351" t="s">
        <v>329</v>
      </c>
    </row>
    <row r="16" spans="1:60" ht="68.25" thickBot="1">
      <c r="A16" s="10" t="s">
        <v>2297</v>
      </c>
      <c r="B16" s="279" t="s">
        <v>2298</v>
      </c>
      <c r="C16" s="407">
        <v>0.10299999999999999</v>
      </c>
      <c r="D16" s="407">
        <v>0.10099999999999999</v>
      </c>
      <c r="E16" s="407">
        <v>8.5999999999999993E-2</v>
      </c>
      <c r="F16" s="407">
        <v>6.8999999999999992E-2</v>
      </c>
      <c r="G16" s="407">
        <v>0.115</v>
      </c>
      <c r="H16" s="407">
        <v>0.11899999999999999</v>
      </c>
      <c r="I16" s="407">
        <v>0.113</v>
      </c>
      <c r="J16" s="407">
        <v>0.11700000000000001</v>
      </c>
      <c r="K16" s="407">
        <v>9.8000000000000004E-2</v>
      </c>
      <c r="L16" s="407">
        <v>8.1000000000000003E-2</v>
      </c>
      <c r="M16" s="417"/>
      <c r="N16" s="317" t="s">
        <v>279</v>
      </c>
      <c r="O16" s="88" t="s">
        <v>286</v>
      </c>
      <c r="P16" s="33"/>
      <c r="Q16" s="33"/>
      <c r="R16" s="33"/>
      <c r="S16" s="33"/>
      <c r="T16" s="4" t="s">
        <v>338</v>
      </c>
      <c r="V16" s="6" t="s">
        <v>2208</v>
      </c>
      <c r="W16" s="4" t="s">
        <v>339</v>
      </c>
      <c r="Y16" s="439" t="s">
        <v>283</v>
      </c>
      <c r="Z16" s="440">
        <v>0.2</v>
      </c>
      <c r="AA16" s="441" t="s">
        <v>42</v>
      </c>
      <c r="AB16" s="442" t="s">
        <v>340</v>
      </c>
      <c r="AC16" s="443" t="str">
        <f t="shared" si="0"/>
        <v>東京都中野区</v>
      </c>
      <c r="AD16" s="444">
        <v>11.4</v>
      </c>
      <c r="AE16" s="445">
        <v>11.1</v>
      </c>
      <c r="AF16" s="446">
        <v>10.9</v>
      </c>
      <c r="AG16" s="439" t="s">
        <v>341</v>
      </c>
      <c r="AH16" s="440">
        <v>0.45</v>
      </c>
      <c r="AI16" s="33"/>
      <c r="AJ16" s="1"/>
      <c r="AK16" s="1"/>
      <c r="AL16" s="1"/>
      <c r="AM16" s="1"/>
      <c r="AN16" s="1"/>
      <c r="AO16" s="272" t="s">
        <v>2299</v>
      </c>
      <c r="AP16" s="273" t="s">
        <v>2344</v>
      </c>
      <c r="AQ16" s="374"/>
      <c r="AR16" s="269" t="s">
        <v>2361</v>
      </c>
      <c r="AS16" s="269" t="s">
        <v>2424</v>
      </c>
      <c r="AT16" s="270" t="s">
        <v>2360</v>
      </c>
      <c r="AU16" s="500"/>
      <c r="AV16" s="500"/>
      <c r="AX16" s="10" t="s">
        <v>2299</v>
      </c>
      <c r="AY16" s="10" t="s">
        <v>2373</v>
      </c>
      <c r="AZ16" s="359" t="s">
        <v>2387</v>
      </c>
      <c r="BA16" s="526" t="s">
        <v>2462</v>
      </c>
      <c r="BB16" s="84" t="s">
        <v>2388</v>
      </c>
      <c r="BC16" s="360"/>
      <c r="BD16" s="505"/>
      <c r="BF16" s="3" t="s">
        <v>188</v>
      </c>
    </row>
    <row r="17" spans="1:58" ht="68.25" thickBot="1">
      <c r="A17" s="10" t="s">
        <v>2299</v>
      </c>
      <c r="B17" s="279" t="s">
        <v>2300</v>
      </c>
      <c r="C17" s="407">
        <v>0.10299999999999999</v>
      </c>
      <c r="D17" s="407">
        <v>0.10099999999999999</v>
      </c>
      <c r="E17" s="407">
        <v>8.5999999999999993E-2</v>
      </c>
      <c r="F17" s="407">
        <v>6.8999999999999992E-2</v>
      </c>
      <c r="G17" s="407">
        <v>0.115</v>
      </c>
      <c r="H17" s="407">
        <v>0.11899999999999999</v>
      </c>
      <c r="I17" s="407">
        <v>0.113</v>
      </c>
      <c r="J17" s="407">
        <v>0.11700000000000001</v>
      </c>
      <c r="K17" s="407">
        <v>9.8000000000000004E-2</v>
      </c>
      <c r="L17" s="407">
        <v>8.1000000000000003E-2</v>
      </c>
      <c r="M17" s="417"/>
      <c r="N17" s="317" t="s">
        <v>279</v>
      </c>
      <c r="O17" s="88" t="s">
        <v>330</v>
      </c>
      <c r="P17" s="33"/>
      <c r="Q17" s="33"/>
      <c r="R17" s="33"/>
      <c r="S17" s="33"/>
      <c r="T17" s="4" t="s">
        <v>342</v>
      </c>
      <c r="V17" s="6" t="s">
        <v>2208</v>
      </c>
      <c r="W17" s="4" t="s">
        <v>343</v>
      </c>
      <c r="Y17" s="439" t="s">
        <v>283</v>
      </c>
      <c r="Z17" s="440">
        <v>0.2</v>
      </c>
      <c r="AA17" s="441" t="s">
        <v>42</v>
      </c>
      <c r="AB17" s="442" t="s">
        <v>344</v>
      </c>
      <c r="AC17" s="443" t="str">
        <f t="shared" si="0"/>
        <v>東京都杉並区</v>
      </c>
      <c r="AD17" s="444">
        <v>11.4</v>
      </c>
      <c r="AE17" s="445">
        <v>11.1</v>
      </c>
      <c r="AF17" s="446">
        <v>10.9</v>
      </c>
      <c r="AG17" s="439" t="s">
        <v>345</v>
      </c>
      <c r="AH17" s="440">
        <v>0.55000000000000004</v>
      </c>
      <c r="AI17" s="33"/>
      <c r="AJ17" s="1"/>
      <c r="AK17" s="1"/>
      <c r="AL17" s="1"/>
      <c r="AM17" s="1"/>
      <c r="AN17" s="1"/>
      <c r="AO17" s="272" t="s">
        <v>2348</v>
      </c>
      <c r="AP17" s="273" t="s">
        <v>2344</v>
      </c>
      <c r="AQ17" s="374"/>
      <c r="AR17" s="269" t="s">
        <v>2347</v>
      </c>
      <c r="AS17" s="269" t="s">
        <v>2425</v>
      </c>
      <c r="AT17" s="270" t="s">
        <v>2360</v>
      </c>
      <c r="AU17" s="500"/>
      <c r="AV17" s="501"/>
      <c r="AX17" s="10" t="s">
        <v>2301</v>
      </c>
      <c r="AY17" s="10" t="s">
        <v>2451</v>
      </c>
      <c r="AZ17" s="359" t="s">
        <v>2387</v>
      </c>
      <c r="BA17" s="526" t="s">
        <v>2462</v>
      </c>
      <c r="BB17" s="84" t="s">
        <v>2388</v>
      </c>
      <c r="BC17" s="360"/>
      <c r="BD17" s="505"/>
      <c r="BF17" s="629" t="s">
        <v>267</v>
      </c>
    </row>
    <row r="18" spans="1:58" ht="68.25" thickBot="1">
      <c r="A18" s="10" t="s">
        <v>2301</v>
      </c>
      <c r="B18" s="279" t="s">
        <v>2302</v>
      </c>
      <c r="C18" s="407">
        <v>0.10299999999999999</v>
      </c>
      <c r="D18" s="407">
        <v>0.10099999999999999</v>
      </c>
      <c r="E18" s="407">
        <v>8.5999999999999993E-2</v>
      </c>
      <c r="F18" s="407">
        <v>6.8999999999999992E-2</v>
      </c>
      <c r="G18" s="407">
        <v>0.115</v>
      </c>
      <c r="H18" s="407">
        <v>0.11899999999999999</v>
      </c>
      <c r="I18" s="407">
        <v>0.113</v>
      </c>
      <c r="J18" s="407">
        <v>0.11700000000000001</v>
      </c>
      <c r="K18" s="407">
        <v>9.8000000000000004E-2</v>
      </c>
      <c r="L18" s="407">
        <v>8.1000000000000003E-2</v>
      </c>
      <c r="M18" s="416"/>
      <c r="N18" s="317" t="s">
        <v>279</v>
      </c>
      <c r="O18" s="88" t="s">
        <v>286</v>
      </c>
      <c r="P18" s="33"/>
      <c r="Q18" s="33"/>
      <c r="R18" s="33"/>
      <c r="S18" s="33"/>
      <c r="T18" s="4" t="s">
        <v>346</v>
      </c>
      <c r="V18" s="6" t="s">
        <v>2208</v>
      </c>
      <c r="W18" s="4" t="s">
        <v>347</v>
      </c>
      <c r="Y18" s="439" t="s">
        <v>283</v>
      </c>
      <c r="Z18" s="440">
        <v>0.2</v>
      </c>
      <c r="AA18" s="441" t="s">
        <v>42</v>
      </c>
      <c r="AB18" s="442" t="s">
        <v>348</v>
      </c>
      <c r="AC18" s="443" t="str">
        <f t="shared" si="0"/>
        <v>東京都豊島区</v>
      </c>
      <c r="AD18" s="444">
        <v>11.4</v>
      </c>
      <c r="AE18" s="445">
        <v>11.1</v>
      </c>
      <c r="AF18" s="446">
        <v>10.9</v>
      </c>
      <c r="AG18" s="439" t="s">
        <v>349</v>
      </c>
      <c r="AH18" s="440">
        <v>0.55000000000000004</v>
      </c>
      <c r="AI18" s="33"/>
      <c r="AJ18" s="1"/>
      <c r="AK18" s="1"/>
      <c r="AL18" s="1"/>
      <c r="AM18" s="1"/>
      <c r="AN18" s="1"/>
      <c r="AO18" s="272" t="s">
        <v>2303</v>
      </c>
      <c r="AP18" s="273" t="s">
        <v>2344</v>
      </c>
      <c r="AQ18" s="374"/>
      <c r="AR18" s="269" t="s">
        <v>2299</v>
      </c>
      <c r="AS18" s="269" t="s">
        <v>2426</v>
      </c>
      <c r="AT18" s="270" t="s">
        <v>2360</v>
      </c>
      <c r="AU18" s="500"/>
      <c r="AV18" s="501"/>
      <c r="AX18" s="10" t="s">
        <v>2303</v>
      </c>
      <c r="AY18" s="10" t="s">
        <v>2374</v>
      </c>
      <c r="AZ18" s="359" t="s">
        <v>2387</v>
      </c>
      <c r="BA18" s="526" t="s">
        <v>2462</v>
      </c>
      <c r="BB18" s="84" t="s">
        <v>2388</v>
      </c>
      <c r="BC18" s="360"/>
      <c r="BD18" s="505"/>
      <c r="BF18" s="11" t="s">
        <v>109</v>
      </c>
    </row>
    <row r="19" spans="1:58" ht="68.25" thickBot="1">
      <c r="A19" s="10" t="s">
        <v>2303</v>
      </c>
      <c r="B19" s="279" t="s">
        <v>2304</v>
      </c>
      <c r="C19" s="407">
        <v>9.6000000000000002E-2</v>
      </c>
      <c r="D19" s="407">
        <v>9.4E-2</v>
      </c>
      <c r="E19" s="407">
        <v>7.9000000000000001E-2</v>
      </c>
      <c r="F19" s="407">
        <v>6.3E-2</v>
      </c>
      <c r="G19" s="407">
        <v>0.108</v>
      </c>
      <c r="H19" s="407">
        <v>0.112</v>
      </c>
      <c r="I19" s="407">
        <v>0.106</v>
      </c>
      <c r="J19" s="407">
        <v>0.11</v>
      </c>
      <c r="K19" s="407">
        <v>9.0999999999999998E-2</v>
      </c>
      <c r="L19" s="407">
        <v>7.4999999999999997E-2</v>
      </c>
      <c r="M19" s="416"/>
      <c r="N19" s="317" t="s">
        <v>279</v>
      </c>
      <c r="O19" s="88" t="s">
        <v>303</v>
      </c>
      <c r="P19" s="33"/>
      <c r="Q19" s="33"/>
      <c r="R19" s="33"/>
      <c r="S19" s="33"/>
      <c r="T19" s="4" t="s">
        <v>350</v>
      </c>
      <c r="V19" s="6" t="s">
        <v>2208</v>
      </c>
      <c r="W19" s="4" t="s">
        <v>351</v>
      </c>
      <c r="Y19" s="439" t="s">
        <v>283</v>
      </c>
      <c r="Z19" s="440">
        <v>0.2</v>
      </c>
      <c r="AA19" s="441" t="s">
        <v>42</v>
      </c>
      <c r="AB19" s="442" t="s">
        <v>352</v>
      </c>
      <c r="AC19" s="443" t="str">
        <f t="shared" si="0"/>
        <v>東京都北区</v>
      </c>
      <c r="AD19" s="444">
        <v>11.4</v>
      </c>
      <c r="AE19" s="445">
        <v>11.1</v>
      </c>
      <c r="AF19" s="446">
        <v>10.9</v>
      </c>
      <c r="AG19" s="439" t="s">
        <v>353</v>
      </c>
      <c r="AH19" s="440">
        <v>0.55000000000000004</v>
      </c>
      <c r="AI19" s="33"/>
      <c r="AJ19" s="1"/>
      <c r="AK19" s="1"/>
      <c r="AL19" s="1"/>
      <c r="AM19" s="1"/>
      <c r="AN19" s="1"/>
      <c r="AO19" s="272" t="s">
        <v>2305</v>
      </c>
      <c r="AP19" s="273" t="s">
        <v>2344</v>
      </c>
      <c r="AQ19" s="374"/>
      <c r="AR19" s="269" t="s">
        <v>2348</v>
      </c>
      <c r="AS19" s="269" t="s">
        <v>2442</v>
      </c>
      <c r="AT19" s="270" t="s">
        <v>2360</v>
      </c>
      <c r="AU19" s="500"/>
      <c r="AV19" s="501"/>
      <c r="AX19" s="10" t="s">
        <v>2305</v>
      </c>
      <c r="AY19" s="10" t="s">
        <v>2375</v>
      </c>
      <c r="AZ19" s="359" t="s">
        <v>2387</v>
      </c>
      <c r="BA19" s="526" t="s">
        <v>2462</v>
      </c>
      <c r="BB19" s="84" t="s">
        <v>2388</v>
      </c>
      <c r="BC19" s="360"/>
      <c r="BD19" s="504"/>
      <c r="BF19" s="11"/>
    </row>
    <row r="20" spans="1:58" ht="68.25" thickBot="1">
      <c r="A20" s="10" t="s">
        <v>2305</v>
      </c>
      <c r="B20" s="279" t="s">
        <v>2306</v>
      </c>
      <c r="C20" s="407">
        <v>9.2999999999999999E-2</v>
      </c>
      <c r="D20" s="407">
        <v>9.0999999999999998E-2</v>
      </c>
      <c r="E20" s="407">
        <v>7.5999999999999998E-2</v>
      </c>
      <c r="F20" s="407">
        <v>6.2E-2</v>
      </c>
      <c r="G20" s="407">
        <v>0.105</v>
      </c>
      <c r="H20" s="407">
        <v>0.109</v>
      </c>
      <c r="I20" s="407">
        <v>0.10299999999999999</v>
      </c>
      <c r="J20" s="407">
        <v>0.107</v>
      </c>
      <c r="K20" s="407">
        <v>8.7999999999999995E-2</v>
      </c>
      <c r="L20" s="407">
        <v>7.3999999999999996E-2</v>
      </c>
      <c r="M20" s="417"/>
      <c r="N20" s="317" t="s">
        <v>279</v>
      </c>
      <c r="O20" s="88" t="s">
        <v>286</v>
      </c>
      <c r="P20" s="33"/>
      <c r="Q20" s="33"/>
      <c r="R20" s="33"/>
      <c r="S20" s="33"/>
      <c r="T20" s="4" t="s">
        <v>354</v>
      </c>
      <c r="V20" s="6" t="s">
        <v>2208</v>
      </c>
      <c r="W20" s="4" t="s">
        <v>355</v>
      </c>
      <c r="Y20" s="439" t="s">
        <v>283</v>
      </c>
      <c r="Z20" s="440">
        <v>0.2</v>
      </c>
      <c r="AA20" s="441" t="s">
        <v>42</v>
      </c>
      <c r="AB20" s="442" t="s">
        <v>356</v>
      </c>
      <c r="AC20" s="443" t="str">
        <f t="shared" si="0"/>
        <v>東京都荒川区</v>
      </c>
      <c r="AD20" s="444">
        <v>11.4</v>
      </c>
      <c r="AE20" s="445">
        <v>11.1</v>
      </c>
      <c r="AF20" s="446">
        <v>10.9</v>
      </c>
      <c r="AG20" s="439" t="s">
        <v>357</v>
      </c>
      <c r="AH20" s="440">
        <v>0.55000000000000004</v>
      </c>
      <c r="AI20" s="33"/>
      <c r="AJ20" s="1"/>
      <c r="AK20" s="1"/>
      <c r="AL20" s="1"/>
      <c r="AM20" s="1"/>
      <c r="AN20" s="1"/>
      <c r="AO20" s="272" t="s">
        <v>2349</v>
      </c>
      <c r="AP20" s="273" t="s">
        <v>2344</v>
      </c>
      <c r="AQ20" s="374"/>
      <c r="AR20" s="269" t="s">
        <v>2303</v>
      </c>
      <c r="AS20" s="269" t="s">
        <v>2427</v>
      </c>
      <c r="AT20" s="270" t="s">
        <v>2360</v>
      </c>
      <c r="AU20" s="500"/>
      <c r="AV20" s="501"/>
      <c r="AX20" s="10" t="s">
        <v>2307</v>
      </c>
      <c r="AY20" s="10" t="s">
        <v>2376</v>
      </c>
      <c r="AZ20" s="359" t="s">
        <v>2387</v>
      </c>
      <c r="BA20" s="526" t="s">
        <v>2462</v>
      </c>
      <c r="BB20" s="84" t="s">
        <v>2388</v>
      </c>
      <c r="BC20" s="360"/>
      <c r="BD20" s="504"/>
    </row>
    <row r="21" spans="1:58" ht="68.25" thickBot="1">
      <c r="A21" s="617" t="s">
        <v>2307</v>
      </c>
      <c r="B21" s="279" t="s">
        <v>2308</v>
      </c>
      <c r="C21" s="407">
        <v>0.10299999999999999</v>
      </c>
      <c r="D21" s="408"/>
      <c r="E21" s="407">
        <v>8.5999999999999993E-2</v>
      </c>
      <c r="F21" s="407">
        <v>6.8999999999999992E-2</v>
      </c>
      <c r="G21" s="407">
        <v>0.115</v>
      </c>
      <c r="H21" s="407">
        <v>0.11899999999999999</v>
      </c>
      <c r="I21" s="408"/>
      <c r="J21" s="408"/>
      <c r="K21" s="407">
        <v>9.8000000000000004E-2</v>
      </c>
      <c r="L21" s="407">
        <v>8.1000000000000003E-2</v>
      </c>
      <c r="M21" s="417"/>
      <c r="N21" s="317" t="s">
        <v>279</v>
      </c>
      <c r="O21" s="88" t="s">
        <v>358</v>
      </c>
      <c r="P21" s="33"/>
      <c r="Q21" s="33"/>
      <c r="R21" s="33"/>
      <c r="S21" s="33"/>
      <c r="T21" s="4" t="s">
        <v>359</v>
      </c>
      <c r="V21" s="6" t="s">
        <v>2208</v>
      </c>
      <c r="W21" s="4" t="s">
        <v>360</v>
      </c>
      <c r="Y21" s="439" t="s">
        <v>283</v>
      </c>
      <c r="Z21" s="440">
        <v>0.2</v>
      </c>
      <c r="AA21" s="441" t="s">
        <v>42</v>
      </c>
      <c r="AB21" s="442" t="s">
        <v>361</v>
      </c>
      <c r="AC21" s="443" t="str">
        <f t="shared" si="0"/>
        <v>東京都板橋区</v>
      </c>
      <c r="AD21" s="444">
        <v>11.4</v>
      </c>
      <c r="AE21" s="445">
        <v>11.1</v>
      </c>
      <c r="AF21" s="446">
        <v>10.9</v>
      </c>
      <c r="AG21" s="439" t="s">
        <v>362</v>
      </c>
      <c r="AH21" s="440">
        <v>0.55000000000000004</v>
      </c>
      <c r="AI21" s="33"/>
      <c r="AJ21" s="1"/>
      <c r="AK21" s="1"/>
      <c r="AL21" s="1"/>
      <c r="AM21" s="1"/>
      <c r="AN21" s="1"/>
      <c r="AO21" s="272" t="s">
        <v>2350</v>
      </c>
      <c r="AP21" s="273" t="s">
        <v>2344</v>
      </c>
      <c r="AQ21" s="374"/>
      <c r="AR21" s="269" t="s">
        <v>2305</v>
      </c>
      <c r="AS21" s="269" t="s">
        <v>2428</v>
      </c>
      <c r="AT21" s="270" t="s">
        <v>2360</v>
      </c>
      <c r="AU21" s="500"/>
      <c r="AV21" s="501"/>
      <c r="AX21" s="10" t="s">
        <v>2309</v>
      </c>
      <c r="AY21" s="10" t="s">
        <v>2377</v>
      </c>
      <c r="AZ21" s="359" t="s">
        <v>2387</v>
      </c>
      <c r="BA21" s="526" t="s">
        <v>2462</v>
      </c>
      <c r="BB21" s="84" t="s">
        <v>2388</v>
      </c>
      <c r="BC21" s="360"/>
      <c r="BD21" s="504"/>
      <c r="BF21" s="388" t="s">
        <v>2216</v>
      </c>
    </row>
    <row r="22" spans="1:58" ht="68.25" thickBot="1">
      <c r="A22" s="10" t="s">
        <v>2309</v>
      </c>
      <c r="B22" s="279" t="s">
        <v>2310</v>
      </c>
      <c r="C22" s="407">
        <v>0.10299999999999999</v>
      </c>
      <c r="D22" s="407">
        <v>0.10099999999999999</v>
      </c>
      <c r="E22" s="407">
        <v>8.5999999999999993E-2</v>
      </c>
      <c r="F22" s="407">
        <v>6.8999999999999992E-2</v>
      </c>
      <c r="G22" s="407">
        <v>0.115</v>
      </c>
      <c r="H22" s="407">
        <v>0.11899999999999999</v>
      </c>
      <c r="I22" s="407">
        <v>0.113</v>
      </c>
      <c r="J22" s="407">
        <v>0.11700000000000001</v>
      </c>
      <c r="K22" s="407">
        <v>9.8000000000000004E-2</v>
      </c>
      <c r="L22" s="407">
        <v>8.1000000000000003E-2</v>
      </c>
      <c r="M22" s="417"/>
      <c r="N22" s="317" t="s">
        <v>279</v>
      </c>
      <c r="O22" s="88" t="s">
        <v>303</v>
      </c>
      <c r="P22" s="33"/>
      <c r="Q22" s="33"/>
      <c r="R22" s="33"/>
      <c r="S22" s="33"/>
      <c r="T22" s="4" t="s">
        <v>363</v>
      </c>
      <c r="V22" s="6" t="s">
        <v>2208</v>
      </c>
      <c r="W22" s="4" t="s">
        <v>364</v>
      </c>
      <c r="Y22" s="439" t="s">
        <v>283</v>
      </c>
      <c r="Z22" s="440">
        <v>0.2</v>
      </c>
      <c r="AA22" s="441" t="s">
        <v>42</v>
      </c>
      <c r="AB22" s="442" t="s">
        <v>365</v>
      </c>
      <c r="AC22" s="443" t="str">
        <f t="shared" si="0"/>
        <v>東京都練馬区</v>
      </c>
      <c r="AD22" s="444">
        <v>11.4</v>
      </c>
      <c r="AE22" s="445">
        <v>11.1</v>
      </c>
      <c r="AF22" s="446">
        <v>10.9</v>
      </c>
      <c r="AG22" s="439" t="s">
        <v>366</v>
      </c>
      <c r="AH22" s="440">
        <v>0.55000000000000004</v>
      </c>
      <c r="AI22" s="33"/>
      <c r="AJ22" s="1"/>
      <c r="AK22" s="1"/>
      <c r="AL22" s="1"/>
      <c r="AM22" s="1"/>
      <c r="AN22" s="1"/>
      <c r="AO22" s="272" t="s">
        <v>2351</v>
      </c>
      <c r="AP22" s="273" t="s">
        <v>2344</v>
      </c>
      <c r="AQ22" s="374"/>
      <c r="AR22" s="269" t="s">
        <v>2349</v>
      </c>
      <c r="AS22" s="269" t="s">
        <v>2429</v>
      </c>
      <c r="AT22" s="270" t="s">
        <v>2359</v>
      </c>
      <c r="AU22" s="500"/>
      <c r="AV22" s="501"/>
      <c r="AX22" s="10" t="s">
        <v>2311</v>
      </c>
      <c r="AY22" s="10" t="s">
        <v>2450</v>
      </c>
      <c r="AZ22" s="359" t="s">
        <v>2387</v>
      </c>
      <c r="BA22" s="526" t="s">
        <v>2462</v>
      </c>
      <c r="BB22" s="84" t="s">
        <v>2388</v>
      </c>
      <c r="BC22" s="360"/>
      <c r="BD22" s="504"/>
      <c r="BF22" s="263" t="s">
        <v>188</v>
      </c>
    </row>
    <row r="23" spans="1:58" ht="68.25" thickBot="1">
      <c r="A23" s="10" t="s">
        <v>2311</v>
      </c>
      <c r="B23" s="279" t="s">
        <v>2312</v>
      </c>
      <c r="C23" s="407">
        <v>0.14700000000000002</v>
      </c>
      <c r="D23" s="407">
        <v>0.14400000000000002</v>
      </c>
      <c r="E23" s="407">
        <v>0.128</v>
      </c>
      <c r="F23" s="407">
        <v>0.105</v>
      </c>
      <c r="G23" s="407">
        <v>0.16300000000000001</v>
      </c>
      <c r="H23" s="407">
        <v>0.16900000000000001</v>
      </c>
      <c r="I23" s="407">
        <v>0.16</v>
      </c>
      <c r="J23" s="407">
        <v>0.16600000000000001</v>
      </c>
      <c r="K23" s="407">
        <v>0.14399999999999999</v>
      </c>
      <c r="L23" s="407">
        <v>0.121</v>
      </c>
      <c r="M23" s="417"/>
      <c r="N23" s="317" t="s">
        <v>279</v>
      </c>
      <c r="O23" s="88" t="s">
        <v>367</v>
      </c>
      <c r="P23" s="33"/>
      <c r="Q23" s="33"/>
      <c r="R23" s="33"/>
      <c r="S23" s="33"/>
      <c r="T23" s="4" t="s">
        <v>368</v>
      </c>
      <c r="V23" s="6" t="s">
        <v>2208</v>
      </c>
      <c r="W23" s="4" t="s">
        <v>369</v>
      </c>
      <c r="Y23" s="439" t="s">
        <v>283</v>
      </c>
      <c r="Z23" s="440">
        <v>0.2</v>
      </c>
      <c r="AA23" s="441" t="s">
        <v>42</v>
      </c>
      <c r="AB23" s="442" t="s">
        <v>370</v>
      </c>
      <c r="AC23" s="443" t="str">
        <f t="shared" si="0"/>
        <v>東京都足立区</v>
      </c>
      <c r="AD23" s="444">
        <v>11.4</v>
      </c>
      <c r="AE23" s="445">
        <v>11.1</v>
      </c>
      <c r="AF23" s="446">
        <v>10.9</v>
      </c>
      <c r="AG23" s="447" t="s">
        <v>371</v>
      </c>
      <c r="AH23" s="440">
        <v>0.55000000000000004</v>
      </c>
      <c r="AI23" s="33"/>
      <c r="AJ23" s="1"/>
      <c r="AK23" s="1"/>
      <c r="AL23" s="1"/>
      <c r="AM23" s="1"/>
      <c r="AN23" s="1"/>
      <c r="AO23" s="272" t="s">
        <v>2352</v>
      </c>
      <c r="AP23" s="273" t="s">
        <v>2344</v>
      </c>
      <c r="AQ23" s="374"/>
      <c r="AR23" s="269" t="s">
        <v>2350</v>
      </c>
      <c r="AS23" s="269" t="s">
        <v>2430</v>
      </c>
      <c r="AT23" s="270" t="s">
        <v>2360</v>
      </c>
      <c r="AU23" s="500"/>
      <c r="AV23" s="501"/>
      <c r="AX23" s="10" t="s">
        <v>2313</v>
      </c>
      <c r="AY23" s="10" t="s">
        <v>2449</v>
      </c>
      <c r="AZ23" s="359" t="s">
        <v>2387</v>
      </c>
      <c r="BA23" s="526" t="s">
        <v>2462</v>
      </c>
      <c r="BB23" s="84" t="s">
        <v>2388</v>
      </c>
      <c r="BC23" s="360"/>
      <c r="BD23" s="504"/>
      <c r="BF23" s="271"/>
    </row>
    <row r="24" spans="1:58" ht="68.25" thickBot="1">
      <c r="A24" s="10" t="s">
        <v>2313</v>
      </c>
      <c r="B24" s="279" t="s">
        <v>2312</v>
      </c>
      <c r="C24" s="407">
        <v>0.14700000000000002</v>
      </c>
      <c r="D24" s="407">
        <v>0.14400000000000002</v>
      </c>
      <c r="E24" s="407">
        <v>0.128</v>
      </c>
      <c r="F24" s="407">
        <v>0.105</v>
      </c>
      <c r="G24" s="407">
        <v>0.16300000000000001</v>
      </c>
      <c r="H24" s="407">
        <v>0.16900000000000001</v>
      </c>
      <c r="I24" s="407">
        <v>0.16</v>
      </c>
      <c r="J24" s="407">
        <v>0.16600000000000001</v>
      </c>
      <c r="K24" s="407">
        <v>0.14399999999999999</v>
      </c>
      <c r="L24" s="407">
        <v>0.121</v>
      </c>
      <c r="M24" s="417"/>
      <c r="N24" s="317" t="s">
        <v>279</v>
      </c>
      <c r="O24" s="88" t="s">
        <v>286</v>
      </c>
      <c r="P24" s="33"/>
      <c r="Q24" s="33"/>
      <c r="R24" s="33"/>
      <c r="S24" s="33"/>
      <c r="T24" s="4" t="s">
        <v>372</v>
      </c>
      <c r="V24" s="6" t="s">
        <v>2208</v>
      </c>
      <c r="W24" s="4" t="s">
        <v>373</v>
      </c>
      <c r="Y24" s="439" t="s">
        <v>283</v>
      </c>
      <c r="Z24" s="440">
        <v>0.2</v>
      </c>
      <c r="AA24" s="441" t="s">
        <v>42</v>
      </c>
      <c r="AB24" s="442" t="s">
        <v>374</v>
      </c>
      <c r="AC24" s="443" t="str">
        <f t="shared" si="0"/>
        <v>東京都葛飾区</v>
      </c>
      <c r="AD24" s="444">
        <v>11.4</v>
      </c>
      <c r="AE24" s="445">
        <v>11.1</v>
      </c>
      <c r="AF24" s="446">
        <v>10.9</v>
      </c>
      <c r="AG24" s="447" t="s">
        <v>375</v>
      </c>
      <c r="AH24" s="440">
        <v>0.55000000000000004</v>
      </c>
      <c r="AI24" s="33"/>
      <c r="AJ24" s="1"/>
      <c r="AK24" s="1"/>
      <c r="AL24" s="1"/>
      <c r="AM24" s="1"/>
      <c r="AN24" s="1"/>
      <c r="AO24" s="272" t="s">
        <v>2353</v>
      </c>
      <c r="AP24" s="273" t="s">
        <v>2344</v>
      </c>
      <c r="AQ24" s="374"/>
      <c r="AR24" s="269" t="s">
        <v>2351</v>
      </c>
      <c r="AS24" s="269" t="s">
        <v>2443</v>
      </c>
      <c r="AT24" s="270" t="s">
        <v>2360</v>
      </c>
      <c r="AU24" s="500"/>
      <c r="AV24" s="501"/>
      <c r="AX24" s="10" t="s">
        <v>2314</v>
      </c>
      <c r="AY24" s="10" t="s">
        <v>2448</v>
      </c>
      <c r="AZ24" s="359" t="s">
        <v>2387</v>
      </c>
      <c r="BA24" s="526" t="s">
        <v>2462</v>
      </c>
      <c r="BB24" s="84" t="s">
        <v>2388</v>
      </c>
      <c r="BC24" s="360"/>
      <c r="BD24" s="504"/>
      <c r="BF24" s="271"/>
    </row>
    <row r="25" spans="1:58" ht="68.25" thickBot="1">
      <c r="A25" s="10" t="s">
        <v>2314</v>
      </c>
      <c r="B25" s="279" t="s">
        <v>2312</v>
      </c>
      <c r="C25" s="407">
        <v>0.21099999999999997</v>
      </c>
      <c r="D25" s="407">
        <v>0.20799999999999996</v>
      </c>
      <c r="E25" s="407">
        <v>0.192</v>
      </c>
      <c r="F25" s="407">
        <v>0.15200000000000002</v>
      </c>
      <c r="G25" s="407">
        <v>0.22700000000000001</v>
      </c>
      <c r="H25" s="407">
        <v>0.23300000000000001</v>
      </c>
      <c r="I25" s="407">
        <v>0.224</v>
      </c>
      <c r="J25" s="407">
        <v>0.23</v>
      </c>
      <c r="K25" s="407">
        <v>0.20799999999999999</v>
      </c>
      <c r="L25" s="407">
        <v>0.16800000000000001</v>
      </c>
      <c r="M25" s="417"/>
      <c r="N25" s="317" t="s">
        <v>279</v>
      </c>
      <c r="O25" s="88" t="s">
        <v>330</v>
      </c>
      <c r="P25" s="33"/>
      <c r="Q25" s="33"/>
      <c r="R25" s="33"/>
      <c r="S25" s="33"/>
      <c r="T25" s="4" t="s">
        <v>376</v>
      </c>
      <c r="V25" s="6" t="s">
        <v>2208</v>
      </c>
      <c r="W25" s="4" t="s">
        <v>377</v>
      </c>
      <c r="Y25" s="448" t="s">
        <v>283</v>
      </c>
      <c r="Z25" s="449">
        <v>0.2</v>
      </c>
      <c r="AA25" s="450" t="s">
        <v>42</v>
      </c>
      <c r="AB25" s="451" t="s">
        <v>378</v>
      </c>
      <c r="AC25" s="452" t="str">
        <f t="shared" si="0"/>
        <v>東京都江戸川区</v>
      </c>
      <c r="AD25" s="453">
        <v>11.4</v>
      </c>
      <c r="AE25" s="454">
        <v>11.1</v>
      </c>
      <c r="AF25" s="455">
        <v>10.9</v>
      </c>
      <c r="AG25" s="439" t="s">
        <v>379</v>
      </c>
      <c r="AH25" s="440">
        <v>0.45</v>
      </c>
      <c r="AI25" s="33"/>
      <c r="AJ25" s="1"/>
      <c r="AK25" s="1"/>
      <c r="AL25" s="1"/>
      <c r="AM25" s="1"/>
      <c r="AN25" s="1"/>
      <c r="AO25" s="272" t="s">
        <v>2315</v>
      </c>
      <c r="AP25" s="273" t="s">
        <v>2344</v>
      </c>
      <c r="AQ25" s="374"/>
      <c r="AR25" s="269" t="s">
        <v>2352</v>
      </c>
      <c r="AS25" s="269" t="s">
        <v>2444</v>
      </c>
      <c r="AT25" s="270" t="s">
        <v>2360</v>
      </c>
      <c r="AU25" s="500"/>
      <c r="AV25" s="501"/>
      <c r="AX25" s="10" t="s">
        <v>2315</v>
      </c>
      <c r="AY25" s="10" t="s">
        <v>2378</v>
      </c>
      <c r="AZ25" s="359" t="s">
        <v>2387</v>
      </c>
      <c r="BA25" s="526" t="s">
        <v>2462</v>
      </c>
      <c r="BB25" s="84" t="s">
        <v>2388</v>
      </c>
      <c r="BC25" s="360"/>
      <c r="BD25" s="504"/>
      <c r="BF25" s="271"/>
    </row>
    <row r="26" spans="1:58" ht="68.25" thickBot="1">
      <c r="A26" s="10" t="s">
        <v>2315</v>
      </c>
      <c r="B26" s="279" t="s">
        <v>2316</v>
      </c>
      <c r="C26" s="407">
        <v>0.13100000000000001</v>
      </c>
      <c r="D26" s="407">
        <v>0.128</v>
      </c>
      <c r="E26" s="407">
        <v>0.11800000000000001</v>
      </c>
      <c r="F26" s="407">
        <v>9.6000000000000002E-2</v>
      </c>
      <c r="G26" s="407">
        <v>0.152</v>
      </c>
      <c r="H26" s="407">
        <v>0.158</v>
      </c>
      <c r="I26" s="407">
        <v>0.14899999999999999</v>
      </c>
      <c r="J26" s="407">
        <v>0.155</v>
      </c>
      <c r="K26" s="407">
        <v>0.13900000000000001</v>
      </c>
      <c r="L26" s="407">
        <v>0.11700000000000001</v>
      </c>
      <c r="M26" s="418"/>
      <c r="N26" s="317" t="s">
        <v>279</v>
      </c>
      <c r="O26" s="88" t="s">
        <v>286</v>
      </c>
      <c r="P26" s="33"/>
      <c r="Q26" s="33"/>
      <c r="R26" s="33"/>
      <c r="S26" s="33"/>
      <c r="T26" s="4" t="s">
        <v>380</v>
      </c>
      <c r="V26" s="6" t="s">
        <v>2208</v>
      </c>
      <c r="W26" s="4" t="s">
        <v>381</v>
      </c>
      <c r="Y26" s="456" t="s">
        <v>382</v>
      </c>
      <c r="Z26" s="457">
        <v>0.16</v>
      </c>
      <c r="AA26" s="458" t="s">
        <v>42</v>
      </c>
      <c r="AB26" s="459" t="s">
        <v>383</v>
      </c>
      <c r="AC26" s="460" t="str">
        <f t="shared" si="0"/>
        <v>東京都調布市</v>
      </c>
      <c r="AD26" s="461">
        <v>11.12</v>
      </c>
      <c r="AE26" s="434">
        <v>10.88</v>
      </c>
      <c r="AF26" s="462">
        <v>10.72</v>
      </c>
      <c r="AG26" s="439" t="s">
        <v>384</v>
      </c>
      <c r="AH26" s="440">
        <v>0.45</v>
      </c>
      <c r="AI26" s="33"/>
      <c r="AJ26" s="1"/>
      <c r="AK26" s="1"/>
      <c r="AL26" s="1"/>
      <c r="AM26" s="1"/>
      <c r="AN26" s="1"/>
      <c r="AO26" s="272" t="s">
        <v>2317</v>
      </c>
      <c r="AP26" s="273" t="s">
        <v>2344</v>
      </c>
      <c r="AQ26" s="374"/>
      <c r="AR26" s="269" t="s">
        <v>2353</v>
      </c>
      <c r="AS26" s="269" t="s">
        <v>2445</v>
      </c>
      <c r="AT26" s="270" t="s">
        <v>2360</v>
      </c>
      <c r="AU26" s="500"/>
      <c r="AV26" s="501"/>
      <c r="AX26" s="10" t="s">
        <v>2317</v>
      </c>
      <c r="AY26" s="10" t="s">
        <v>2379</v>
      </c>
      <c r="AZ26" s="359" t="s">
        <v>2387</v>
      </c>
      <c r="BA26" s="526" t="s">
        <v>2462</v>
      </c>
      <c r="BB26" s="84" t="s">
        <v>2388</v>
      </c>
      <c r="BC26" s="360"/>
      <c r="BD26" s="504"/>
      <c r="BF26" s="508"/>
    </row>
    <row r="27" spans="1:58" ht="68.25" thickBot="1">
      <c r="A27" s="10" t="s">
        <v>2317</v>
      </c>
      <c r="B27" s="279" t="s">
        <v>2318</v>
      </c>
      <c r="C27" s="407">
        <v>0.17599999999999999</v>
      </c>
      <c r="D27" s="407">
        <v>0.17299999999999999</v>
      </c>
      <c r="E27" s="407">
        <v>0.16299999999999998</v>
      </c>
      <c r="F27" s="407">
        <v>0.129</v>
      </c>
      <c r="G27" s="407">
        <v>0.19700000000000001</v>
      </c>
      <c r="H27" s="407">
        <v>0.20300000000000001</v>
      </c>
      <c r="I27" s="407">
        <v>0.19400000000000001</v>
      </c>
      <c r="J27" s="407">
        <v>0.2</v>
      </c>
      <c r="K27" s="407">
        <v>0.184</v>
      </c>
      <c r="L27" s="407">
        <v>0.15</v>
      </c>
      <c r="M27" s="418"/>
      <c r="N27" s="317" t="s">
        <v>279</v>
      </c>
      <c r="O27" s="88" t="s">
        <v>330</v>
      </c>
      <c r="P27" s="33"/>
      <c r="Q27" s="33"/>
      <c r="R27" s="33"/>
      <c r="S27" s="33"/>
      <c r="T27" s="4" t="s">
        <v>385</v>
      </c>
      <c r="V27" s="6" t="s">
        <v>2208</v>
      </c>
      <c r="W27" s="4" t="s">
        <v>386</v>
      </c>
      <c r="Y27" s="439" t="s">
        <v>382</v>
      </c>
      <c r="Z27" s="440">
        <v>0.16</v>
      </c>
      <c r="AA27" s="441" t="s">
        <v>42</v>
      </c>
      <c r="AB27" s="442" t="s">
        <v>387</v>
      </c>
      <c r="AC27" s="463" t="str">
        <f t="shared" si="0"/>
        <v>東京都町田市</v>
      </c>
      <c r="AD27" s="464">
        <v>11.12</v>
      </c>
      <c r="AE27" s="442">
        <v>10.88</v>
      </c>
      <c r="AF27" s="460">
        <v>10.72</v>
      </c>
      <c r="AG27" s="439" t="s">
        <v>388</v>
      </c>
      <c r="AH27" s="440">
        <v>0.45</v>
      </c>
      <c r="AI27" s="33"/>
      <c r="AJ27" s="1"/>
      <c r="AK27" s="1"/>
      <c r="AL27" s="1"/>
      <c r="AM27" s="1"/>
      <c r="AN27" s="1"/>
      <c r="AO27" s="272" t="s">
        <v>2319</v>
      </c>
      <c r="AP27" s="273" t="s">
        <v>2344</v>
      </c>
      <c r="AQ27" s="374"/>
      <c r="AR27" s="269" t="s">
        <v>2315</v>
      </c>
      <c r="AS27" s="269" t="s">
        <v>2431</v>
      </c>
      <c r="AT27" s="270" t="s">
        <v>2360</v>
      </c>
      <c r="AU27" s="500"/>
      <c r="AV27" s="501"/>
      <c r="AX27" s="10" t="s">
        <v>2319</v>
      </c>
      <c r="AY27" s="10" t="s">
        <v>2380</v>
      </c>
      <c r="AZ27" s="359" t="s">
        <v>2387</v>
      </c>
      <c r="BA27" s="526" t="s">
        <v>2462</v>
      </c>
      <c r="BB27" s="84" t="s">
        <v>2388</v>
      </c>
      <c r="BC27" s="360"/>
      <c r="BD27" s="504"/>
    </row>
    <row r="28" spans="1:58" ht="68.25" thickBot="1">
      <c r="A28" s="10" t="s">
        <v>2319</v>
      </c>
      <c r="B28" s="279" t="s">
        <v>2320</v>
      </c>
      <c r="C28" s="407">
        <v>0.13400000000000001</v>
      </c>
      <c r="D28" s="407">
        <v>0.13100000000000001</v>
      </c>
      <c r="E28" s="407">
        <v>0.12100000000000001</v>
      </c>
      <c r="F28" s="407">
        <v>9.8000000000000004E-2</v>
      </c>
      <c r="G28" s="407">
        <v>0.155</v>
      </c>
      <c r="H28" s="407">
        <v>0.161</v>
      </c>
      <c r="I28" s="407">
        <v>0.152</v>
      </c>
      <c r="J28" s="407">
        <v>0.158</v>
      </c>
      <c r="K28" s="407">
        <v>0.14199999999999999</v>
      </c>
      <c r="L28" s="407">
        <v>0.11899999999999999</v>
      </c>
      <c r="M28" s="418"/>
      <c r="N28" s="317" t="s">
        <v>279</v>
      </c>
      <c r="O28" s="88" t="s">
        <v>303</v>
      </c>
      <c r="P28" s="33"/>
      <c r="Q28" s="33"/>
      <c r="R28" s="33"/>
      <c r="S28" s="33"/>
      <c r="T28" s="4" t="s">
        <v>389</v>
      </c>
      <c r="V28" s="6" t="s">
        <v>2208</v>
      </c>
      <c r="W28" s="4" t="s">
        <v>390</v>
      </c>
      <c r="Y28" s="439" t="s">
        <v>382</v>
      </c>
      <c r="Z28" s="440">
        <v>0.16</v>
      </c>
      <c r="AA28" s="441" t="s">
        <v>42</v>
      </c>
      <c r="AB28" s="442" t="s">
        <v>391</v>
      </c>
      <c r="AC28" s="463" t="str">
        <f t="shared" si="0"/>
        <v>東京都狛江市</v>
      </c>
      <c r="AD28" s="464">
        <v>11.12</v>
      </c>
      <c r="AE28" s="442">
        <v>10.88</v>
      </c>
      <c r="AF28" s="463">
        <v>10.72</v>
      </c>
      <c r="AG28" s="439" t="s">
        <v>392</v>
      </c>
      <c r="AH28" s="440">
        <v>0.45</v>
      </c>
      <c r="AI28" s="33"/>
      <c r="AJ28" s="1"/>
      <c r="AK28" s="1"/>
      <c r="AL28" s="1"/>
      <c r="AM28" s="1"/>
      <c r="AN28" s="1"/>
      <c r="AO28" s="272" t="s">
        <v>2321</v>
      </c>
      <c r="AP28" s="273" t="s">
        <v>2344</v>
      </c>
      <c r="AQ28" s="374"/>
      <c r="AR28" s="269" t="s">
        <v>2317</v>
      </c>
      <c r="AS28" s="269" t="s">
        <v>2432</v>
      </c>
      <c r="AT28" s="270" t="s">
        <v>2360</v>
      </c>
      <c r="AU28" s="500"/>
      <c r="AV28" s="501"/>
      <c r="AX28" s="10" t="s">
        <v>2321</v>
      </c>
      <c r="AY28" s="10" t="s">
        <v>2381</v>
      </c>
      <c r="AZ28" s="359" t="s">
        <v>2387</v>
      </c>
      <c r="BA28" s="526" t="s">
        <v>2462</v>
      </c>
      <c r="BB28" s="84" t="s">
        <v>2388</v>
      </c>
      <c r="BC28" s="360"/>
      <c r="BD28" s="504"/>
    </row>
    <row r="29" spans="1:58" ht="68.25" thickBot="1">
      <c r="A29" s="617" t="s">
        <v>2321</v>
      </c>
      <c r="B29" s="279" t="s">
        <v>2322</v>
      </c>
      <c r="C29" s="407">
        <v>0.129</v>
      </c>
      <c r="D29" s="408"/>
      <c r="E29" s="407">
        <v>0.11800000000000001</v>
      </c>
      <c r="F29" s="407">
        <v>9.6000000000000002E-2</v>
      </c>
      <c r="G29" s="407">
        <v>0.15</v>
      </c>
      <c r="H29" s="407">
        <v>0.156</v>
      </c>
      <c r="I29" s="408"/>
      <c r="J29" s="408"/>
      <c r="K29" s="407">
        <v>0.13900000000000001</v>
      </c>
      <c r="L29" s="407">
        <v>0.11700000000000001</v>
      </c>
      <c r="M29" s="418"/>
      <c r="N29" s="317" t="s">
        <v>279</v>
      </c>
      <c r="O29" s="88" t="s">
        <v>367</v>
      </c>
      <c r="P29" s="33"/>
      <c r="Q29" s="33"/>
      <c r="R29" s="33"/>
      <c r="S29" s="33"/>
      <c r="T29" s="4" t="s">
        <v>393</v>
      </c>
      <c r="V29" s="6" t="s">
        <v>2208</v>
      </c>
      <c r="W29" s="4" t="s">
        <v>394</v>
      </c>
      <c r="Y29" s="439" t="s">
        <v>382</v>
      </c>
      <c r="Z29" s="440">
        <v>0.16</v>
      </c>
      <c r="AA29" s="441" t="s">
        <v>42</v>
      </c>
      <c r="AB29" s="442" t="s">
        <v>395</v>
      </c>
      <c r="AC29" s="463" t="str">
        <f t="shared" si="0"/>
        <v>東京都多摩市</v>
      </c>
      <c r="AD29" s="464">
        <v>11.12</v>
      </c>
      <c r="AE29" s="442">
        <v>10.88</v>
      </c>
      <c r="AF29" s="463">
        <v>10.72</v>
      </c>
      <c r="AG29" s="439" t="s">
        <v>396</v>
      </c>
      <c r="AH29" s="440">
        <v>0.45</v>
      </c>
      <c r="AI29" s="33"/>
      <c r="AJ29" s="1"/>
      <c r="AK29" s="1"/>
      <c r="AL29" s="1"/>
      <c r="AM29" s="1"/>
      <c r="AN29" s="1"/>
      <c r="AO29" s="272" t="s">
        <v>2323</v>
      </c>
      <c r="AP29" s="273" t="s">
        <v>2344</v>
      </c>
      <c r="AQ29" s="374"/>
      <c r="AR29" s="269" t="s">
        <v>2319</v>
      </c>
      <c r="AS29" s="269" t="s">
        <v>2433</v>
      </c>
      <c r="AT29" s="270" t="s">
        <v>2360</v>
      </c>
      <c r="AU29" s="500"/>
      <c r="AV29" s="500"/>
      <c r="AX29" s="10" t="s">
        <v>2323</v>
      </c>
      <c r="AY29" s="10" t="s">
        <v>2382</v>
      </c>
      <c r="AZ29" s="359" t="s">
        <v>2387</v>
      </c>
      <c r="BA29" s="526" t="s">
        <v>2462</v>
      </c>
      <c r="BB29" s="84" t="s">
        <v>2388</v>
      </c>
      <c r="BC29" s="360"/>
      <c r="BD29" s="504"/>
    </row>
    <row r="30" spans="1:58" ht="68.25" thickBot="1">
      <c r="A30" s="617" t="s">
        <v>2323</v>
      </c>
      <c r="B30" s="279" t="s">
        <v>2324</v>
      </c>
      <c r="C30" s="407">
        <v>0.129</v>
      </c>
      <c r="D30" s="408"/>
      <c r="E30" s="407">
        <v>0.11800000000000001</v>
      </c>
      <c r="F30" s="407">
        <v>9.6000000000000002E-2</v>
      </c>
      <c r="G30" s="407">
        <v>0.15</v>
      </c>
      <c r="H30" s="407">
        <v>0.156</v>
      </c>
      <c r="I30" s="408"/>
      <c r="J30" s="408"/>
      <c r="K30" s="407">
        <v>0.13900000000000001</v>
      </c>
      <c r="L30" s="407">
        <v>0.11700000000000001</v>
      </c>
      <c r="M30" s="417"/>
      <c r="N30" s="317" t="s">
        <v>279</v>
      </c>
      <c r="O30" s="88" t="s">
        <v>286</v>
      </c>
      <c r="P30" s="33"/>
      <c r="Q30" s="33"/>
      <c r="R30" s="33"/>
      <c r="S30" s="33"/>
      <c r="T30" s="4" t="s">
        <v>397</v>
      </c>
      <c r="V30" s="6" t="s">
        <v>2208</v>
      </c>
      <c r="W30" s="4" t="s">
        <v>398</v>
      </c>
      <c r="Y30" s="439" t="s">
        <v>382</v>
      </c>
      <c r="Z30" s="440">
        <v>0.16</v>
      </c>
      <c r="AA30" s="441" t="s">
        <v>399</v>
      </c>
      <c r="AB30" s="442" t="s">
        <v>400</v>
      </c>
      <c r="AC30" s="463" t="str">
        <f t="shared" si="0"/>
        <v>神奈川県横浜市</v>
      </c>
      <c r="AD30" s="464">
        <v>11.12</v>
      </c>
      <c r="AE30" s="442">
        <v>10.88</v>
      </c>
      <c r="AF30" s="463">
        <v>10.72</v>
      </c>
      <c r="AG30" s="439" t="s">
        <v>401</v>
      </c>
      <c r="AH30" s="440">
        <v>0.45</v>
      </c>
      <c r="AI30" s="33"/>
      <c r="AJ30" s="1"/>
      <c r="AK30" s="1"/>
      <c r="AL30" s="1"/>
      <c r="AM30" s="1"/>
      <c r="AN30" s="1"/>
      <c r="AO30" s="272" t="s">
        <v>2325</v>
      </c>
      <c r="AP30" s="273" t="s">
        <v>2344</v>
      </c>
      <c r="AQ30" s="374"/>
      <c r="AR30" s="269" t="s">
        <v>2321</v>
      </c>
      <c r="AS30" s="269" t="s">
        <v>2434</v>
      </c>
      <c r="AT30" s="270" t="s">
        <v>2359</v>
      </c>
      <c r="AU30" s="500"/>
      <c r="AV30" s="500"/>
      <c r="AX30" s="10" t="s">
        <v>2325</v>
      </c>
      <c r="AY30" s="10" t="s">
        <v>2383</v>
      </c>
      <c r="AZ30" s="359" t="s">
        <v>2387</v>
      </c>
      <c r="BA30" s="526" t="s">
        <v>2462</v>
      </c>
      <c r="BB30" s="84" t="s">
        <v>2388</v>
      </c>
      <c r="BC30" s="360"/>
      <c r="BD30" s="504"/>
    </row>
    <row r="31" spans="1:58" ht="68.25" thickBot="1">
      <c r="A31" s="10" t="s">
        <v>2325</v>
      </c>
      <c r="B31" s="279" t="s">
        <v>2326</v>
      </c>
      <c r="C31" s="407">
        <v>0.21100000000000002</v>
      </c>
      <c r="D31" s="407">
        <v>0.20700000000000002</v>
      </c>
      <c r="E31" s="407">
        <v>0.16800000000000001</v>
      </c>
      <c r="F31" s="407">
        <v>0.14099999999999999</v>
      </c>
      <c r="G31" s="407">
        <v>0.30499999999999999</v>
      </c>
      <c r="H31" s="407">
        <v>0.32</v>
      </c>
      <c r="I31" s="407">
        <v>0.30099999999999999</v>
      </c>
      <c r="J31" s="407">
        <v>0.316</v>
      </c>
      <c r="K31" s="407">
        <v>0.26200000000000001</v>
      </c>
      <c r="L31" s="407">
        <v>0.23499999999999999</v>
      </c>
      <c r="M31" s="417"/>
      <c r="N31" s="317" t="s">
        <v>279</v>
      </c>
      <c r="O31" s="88" t="s">
        <v>286</v>
      </c>
      <c r="P31" s="33"/>
      <c r="Q31" s="33"/>
      <c r="R31" s="33"/>
      <c r="S31" s="33"/>
      <c r="T31" s="4" t="s">
        <v>402</v>
      </c>
      <c r="V31" s="6" t="s">
        <v>2208</v>
      </c>
      <c r="W31" s="4" t="s">
        <v>403</v>
      </c>
      <c r="Y31" s="439" t="s">
        <v>382</v>
      </c>
      <c r="Z31" s="440">
        <v>0.16</v>
      </c>
      <c r="AA31" s="441" t="s">
        <v>399</v>
      </c>
      <c r="AB31" s="442" t="s">
        <v>404</v>
      </c>
      <c r="AC31" s="463" t="str">
        <f t="shared" si="0"/>
        <v>神奈川県川崎市</v>
      </c>
      <c r="AD31" s="464">
        <v>11.12</v>
      </c>
      <c r="AE31" s="442">
        <v>10.88</v>
      </c>
      <c r="AF31" s="463">
        <v>10.72</v>
      </c>
      <c r="AG31" s="439" t="s">
        <v>405</v>
      </c>
      <c r="AH31" s="440">
        <v>0.55000000000000004</v>
      </c>
      <c r="AI31" s="33"/>
      <c r="AJ31" s="1"/>
      <c r="AK31" s="1"/>
      <c r="AL31" s="1"/>
      <c r="AM31" s="1"/>
      <c r="AN31" s="1"/>
      <c r="AO31" s="274" t="s">
        <v>2327</v>
      </c>
      <c r="AP31" s="273" t="s">
        <v>2344</v>
      </c>
      <c r="AQ31" s="374"/>
      <c r="AR31" s="269" t="s">
        <v>2323</v>
      </c>
      <c r="AS31" s="269" t="s">
        <v>2435</v>
      </c>
      <c r="AT31" s="270" t="s">
        <v>2359</v>
      </c>
      <c r="AU31" s="500"/>
      <c r="AV31" s="500"/>
      <c r="AX31" s="10" t="s">
        <v>2327</v>
      </c>
      <c r="AY31" s="10" t="s">
        <v>2384</v>
      </c>
      <c r="AZ31" s="359" t="s">
        <v>2387</v>
      </c>
      <c r="BA31" s="526" t="s">
        <v>2462</v>
      </c>
      <c r="BB31" s="84" t="s">
        <v>2388</v>
      </c>
      <c r="BC31" s="360"/>
      <c r="BD31" s="504"/>
    </row>
    <row r="32" spans="1:58" ht="68.25" thickBot="1">
      <c r="A32" s="10" t="s">
        <v>2327</v>
      </c>
      <c r="B32" s="279" t="s">
        <v>2328</v>
      </c>
      <c r="C32" s="409">
        <v>0.191</v>
      </c>
      <c r="D32" s="409">
        <v>0.187</v>
      </c>
      <c r="E32" s="409">
        <v>0.14799999999999999</v>
      </c>
      <c r="F32" s="409">
        <v>0.127</v>
      </c>
      <c r="G32" s="409">
        <v>0.28499999999999998</v>
      </c>
      <c r="H32" s="409">
        <v>0.3</v>
      </c>
      <c r="I32" s="409">
        <v>0.28100000000000003</v>
      </c>
      <c r="J32" s="409">
        <v>0.29599999999999999</v>
      </c>
      <c r="K32" s="409">
        <v>0.24199999999999999</v>
      </c>
      <c r="L32" s="409">
        <v>0.221</v>
      </c>
      <c r="M32" s="418"/>
      <c r="N32" s="317" t="s">
        <v>279</v>
      </c>
      <c r="O32" s="88" t="s">
        <v>286</v>
      </c>
      <c r="P32" s="33"/>
      <c r="Q32" s="33"/>
      <c r="R32" s="33"/>
      <c r="S32" s="33"/>
      <c r="T32" s="4" t="s">
        <v>406</v>
      </c>
      <c r="V32" s="6" t="s">
        <v>2208</v>
      </c>
      <c r="W32" s="4" t="s">
        <v>407</v>
      </c>
      <c r="Y32" s="465" t="s">
        <v>382</v>
      </c>
      <c r="Z32" s="466">
        <v>0.16</v>
      </c>
      <c r="AA32" s="467" t="s">
        <v>408</v>
      </c>
      <c r="AB32" s="468" t="s">
        <v>409</v>
      </c>
      <c r="AC32" s="469" t="str">
        <f t="shared" si="0"/>
        <v>大阪府大阪市</v>
      </c>
      <c r="AD32" s="470">
        <v>11.12</v>
      </c>
      <c r="AE32" s="451">
        <v>10.88</v>
      </c>
      <c r="AF32" s="471">
        <v>10.72</v>
      </c>
      <c r="AG32" s="439" t="s">
        <v>410</v>
      </c>
      <c r="AH32" s="440">
        <v>0.55000000000000004</v>
      </c>
      <c r="AI32" s="33"/>
      <c r="AJ32" s="1"/>
      <c r="AK32" s="1"/>
      <c r="AL32" s="1"/>
      <c r="AM32" s="1"/>
      <c r="AN32" s="1"/>
      <c r="AO32" s="272" t="s">
        <v>2354</v>
      </c>
      <c r="AP32" s="273" t="s">
        <v>2344</v>
      </c>
      <c r="AQ32" s="374"/>
      <c r="AR32" s="269" t="s">
        <v>2325</v>
      </c>
      <c r="AS32" s="269" t="s">
        <v>2436</v>
      </c>
      <c r="AT32" s="270" t="s">
        <v>2360</v>
      </c>
      <c r="AU32" s="500"/>
      <c r="AV32" s="500"/>
      <c r="AX32" s="10" t="s">
        <v>2329</v>
      </c>
      <c r="AY32" s="10" t="s">
        <v>2487</v>
      </c>
      <c r="AZ32" s="359" t="s">
        <v>2387</v>
      </c>
      <c r="BA32" s="526" t="s">
        <v>2462</v>
      </c>
      <c r="BB32" s="84" t="s">
        <v>2388</v>
      </c>
      <c r="BC32" s="360"/>
      <c r="BD32" s="504"/>
    </row>
    <row r="33" spans="1:56" ht="69" thickTop="1" thickBot="1">
      <c r="A33" s="617" t="s">
        <v>2329</v>
      </c>
      <c r="B33" s="279" t="s">
        <v>2284</v>
      </c>
      <c r="C33" s="410">
        <v>0.10100000000000001</v>
      </c>
      <c r="D33" s="411"/>
      <c r="E33" s="410">
        <v>8.4000000000000005E-2</v>
      </c>
      <c r="F33" s="410">
        <v>6.7000000000000004E-2</v>
      </c>
      <c r="G33" s="410">
        <v>0.113</v>
      </c>
      <c r="H33" s="410">
        <v>0.11700000000000001</v>
      </c>
      <c r="I33" s="411"/>
      <c r="J33" s="411"/>
      <c r="K33" s="410">
        <v>9.6000000000000002E-2</v>
      </c>
      <c r="L33" s="410">
        <v>7.9000000000000001E-2</v>
      </c>
      <c r="M33" s="418"/>
      <c r="N33" s="317" t="s">
        <v>279</v>
      </c>
      <c r="O33" s="88" t="s">
        <v>303</v>
      </c>
      <c r="P33" s="33"/>
      <c r="Q33" s="33"/>
      <c r="R33" s="33"/>
      <c r="S33" s="33"/>
      <c r="T33" s="4" t="s">
        <v>411</v>
      </c>
      <c r="V33" s="6" t="s">
        <v>2208</v>
      </c>
      <c r="W33" s="4" t="s">
        <v>412</v>
      </c>
      <c r="Y33" s="431" t="s">
        <v>413</v>
      </c>
      <c r="Z33" s="432">
        <v>0.15</v>
      </c>
      <c r="AA33" s="433" t="s">
        <v>414</v>
      </c>
      <c r="AB33" s="434" t="s">
        <v>415</v>
      </c>
      <c r="AC33" s="435" t="str">
        <f t="shared" si="0"/>
        <v>埼玉県さいたま市</v>
      </c>
      <c r="AD33" s="461">
        <v>11.05</v>
      </c>
      <c r="AE33" s="434">
        <v>10.83</v>
      </c>
      <c r="AF33" s="462">
        <v>10.68</v>
      </c>
      <c r="AG33" s="439" t="s">
        <v>416</v>
      </c>
      <c r="AH33" s="440">
        <v>0.45</v>
      </c>
      <c r="AJ33" s="1"/>
      <c r="AK33" s="1"/>
      <c r="AL33" s="1"/>
      <c r="AM33" s="1"/>
      <c r="AN33" s="1"/>
      <c r="AO33" s="272" t="s">
        <v>2330</v>
      </c>
      <c r="AP33" s="273" t="s">
        <v>2344</v>
      </c>
      <c r="AQ33" s="374"/>
      <c r="AR33" s="4" t="s">
        <v>2327</v>
      </c>
      <c r="AS33" s="4" t="s">
        <v>2437</v>
      </c>
      <c r="AT33" s="270" t="s">
        <v>2360</v>
      </c>
      <c r="AU33" s="500"/>
      <c r="AV33" s="501"/>
      <c r="AX33" s="10" t="s">
        <v>2330</v>
      </c>
      <c r="AY33" s="10" t="s">
        <v>2488</v>
      </c>
      <c r="AZ33" s="359" t="s">
        <v>2387</v>
      </c>
      <c r="BA33" s="526" t="s">
        <v>2462</v>
      </c>
      <c r="BB33" s="84" t="s">
        <v>2388</v>
      </c>
      <c r="BC33" s="360"/>
      <c r="BD33" s="504"/>
    </row>
    <row r="34" spans="1:56" ht="68.25" thickBot="1">
      <c r="A34" s="617" t="s">
        <v>2513</v>
      </c>
      <c r="B34" s="279" t="s">
        <v>2292</v>
      </c>
      <c r="C34" s="407">
        <v>0.125</v>
      </c>
      <c r="D34" s="408"/>
      <c r="E34" s="407">
        <v>9.9000000000000005E-2</v>
      </c>
      <c r="F34" s="407">
        <v>8.1000000000000003E-2</v>
      </c>
      <c r="G34" s="407">
        <v>0.151</v>
      </c>
      <c r="H34" s="407">
        <v>0.158</v>
      </c>
      <c r="I34" s="408"/>
      <c r="J34" s="408"/>
      <c r="K34" s="407">
        <v>0.125</v>
      </c>
      <c r="L34" s="407">
        <v>0.107</v>
      </c>
      <c r="M34" s="418"/>
      <c r="N34" s="317" t="s">
        <v>279</v>
      </c>
      <c r="O34" s="88" t="s">
        <v>286</v>
      </c>
      <c r="P34" s="33"/>
      <c r="Q34" s="33"/>
      <c r="R34" s="33"/>
      <c r="S34" s="33"/>
      <c r="T34" s="4" t="s">
        <v>417</v>
      </c>
      <c r="V34" s="6" t="s">
        <v>2208</v>
      </c>
      <c r="W34" s="4" t="s">
        <v>418</v>
      </c>
      <c r="Y34" s="439" t="s">
        <v>413</v>
      </c>
      <c r="Z34" s="440">
        <v>0.15</v>
      </c>
      <c r="AA34" s="441" t="s">
        <v>419</v>
      </c>
      <c r="AB34" s="442" t="s">
        <v>420</v>
      </c>
      <c r="AC34" s="443" t="str">
        <f t="shared" si="0"/>
        <v>千葉県千葉市</v>
      </c>
      <c r="AD34" s="464">
        <v>11.05</v>
      </c>
      <c r="AE34" s="442">
        <v>10.83</v>
      </c>
      <c r="AF34" s="463">
        <v>10.68</v>
      </c>
      <c r="AG34" s="439" t="s">
        <v>421</v>
      </c>
      <c r="AH34" s="440">
        <v>0.45</v>
      </c>
      <c r="AJ34" s="1"/>
      <c r="AK34" s="1"/>
      <c r="AL34" s="1"/>
      <c r="AM34" s="1"/>
      <c r="AN34" s="1"/>
      <c r="AO34" s="272" t="s">
        <v>2331</v>
      </c>
      <c r="AP34" s="273" t="s">
        <v>2344</v>
      </c>
      <c r="AQ34" s="374"/>
      <c r="AR34" s="269" t="s">
        <v>2354</v>
      </c>
      <c r="AS34" s="269" t="s">
        <v>2493</v>
      </c>
      <c r="AT34" s="270" t="s">
        <v>2359</v>
      </c>
      <c r="AU34" s="500"/>
      <c r="AV34" s="500"/>
      <c r="AX34" s="10" t="s">
        <v>2331</v>
      </c>
      <c r="AY34" s="10" t="s">
        <v>2489</v>
      </c>
      <c r="AZ34" s="359" t="s">
        <v>2387</v>
      </c>
      <c r="BA34" s="526" t="s">
        <v>2462</v>
      </c>
      <c r="BB34" s="84" t="s">
        <v>2388</v>
      </c>
      <c r="BC34" s="360"/>
      <c r="BD34" s="504"/>
    </row>
    <row r="35" spans="1:56" ht="68.25" thickBot="1">
      <c r="A35" s="617" t="s">
        <v>2514</v>
      </c>
      <c r="B35" s="279" t="s">
        <v>2294</v>
      </c>
      <c r="C35" s="407">
        <v>0.125</v>
      </c>
      <c r="D35" s="408"/>
      <c r="E35" s="407">
        <v>9.9000000000000005E-2</v>
      </c>
      <c r="F35" s="407">
        <v>8.1000000000000003E-2</v>
      </c>
      <c r="G35" s="407">
        <v>0.151</v>
      </c>
      <c r="H35" s="407">
        <v>0.158</v>
      </c>
      <c r="I35" s="408"/>
      <c r="J35" s="408"/>
      <c r="K35" s="407">
        <v>0.125</v>
      </c>
      <c r="L35" s="407">
        <v>0.107</v>
      </c>
      <c r="M35" s="417"/>
      <c r="N35" s="317" t="s">
        <v>279</v>
      </c>
      <c r="O35" s="88" t="s">
        <v>286</v>
      </c>
      <c r="P35" s="33"/>
      <c r="Q35" s="33"/>
      <c r="R35" s="33"/>
      <c r="S35" s="33"/>
      <c r="T35" s="4" t="s">
        <v>422</v>
      </c>
      <c r="V35" s="6" t="s">
        <v>2208</v>
      </c>
      <c r="W35" s="4" t="s">
        <v>423</v>
      </c>
      <c r="Y35" s="439" t="s">
        <v>413</v>
      </c>
      <c r="Z35" s="440">
        <v>0.15</v>
      </c>
      <c r="AA35" s="441" t="s">
        <v>419</v>
      </c>
      <c r="AB35" s="442" t="s">
        <v>424</v>
      </c>
      <c r="AC35" s="443" t="str">
        <f t="shared" si="0"/>
        <v>千葉県浦安市</v>
      </c>
      <c r="AD35" s="464">
        <v>11.05</v>
      </c>
      <c r="AE35" s="442">
        <v>10.83</v>
      </c>
      <c r="AF35" s="463">
        <v>10.68</v>
      </c>
      <c r="AG35" s="439" t="s">
        <v>425</v>
      </c>
      <c r="AH35" s="440">
        <v>0.45</v>
      </c>
      <c r="AJ35" s="1"/>
      <c r="AK35" s="1"/>
      <c r="AL35" s="1"/>
      <c r="AM35" s="1"/>
      <c r="AN35" s="1"/>
      <c r="AO35" s="274" t="s">
        <v>2332</v>
      </c>
      <c r="AP35" s="273" t="s">
        <v>2344</v>
      </c>
      <c r="AQ35" s="374"/>
      <c r="AR35" s="269" t="s">
        <v>2330</v>
      </c>
      <c r="AS35" s="269" t="s">
        <v>2494</v>
      </c>
      <c r="AT35" s="270" t="s">
        <v>2359</v>
      </c>
      <c r="AU35" s="500"/>
      <c r="AV35" s="500"/>
      <c r="AX35" s="10" t="s">
        <v>2332</v>
      </c>
      <c r="AY35" s="10" t="s">
        <v>2490</v>
      </c>
      <c r="AZ35" s="359" t="s">
        <v>2387</v>
      </c>
      <c r="BA35" s="526" t="s">
        <v>2462</v>
      </c>
      <c r="BB35" s="84" t="s">
        <v>2388</v>
      </c>
      <c r="BC35" s="360"/>
      <c r="BD35" s="504"/>
    </row>
    <row r="36" spans="1:56" ht="68.25" thickBot="1">
      <c r="A36" s="617" t="s">
        <v>2515</v>
      </c>
      <c r="B36" s="279" t="s">
        <v>2300</v>
      </c>
      <c r="C36" s="407">
        <v>0.107</v>
      </c>
      <c r="D36" s="408"/>
      <c r="E36" s="407">
        <v>8.8999999999999996E-2</v>
      </c>
      <c r="F36" s="407">
        <v>7.0999999999999994E-2</v>
      </c>
      <c r="G36" s="407">
        <v>0.11899999999999999</v>
      </c>
      <c r="H36" s="407">
        <v>0.123</v>
      </c>
      <c r="I36" s="408"/>
      <c r="J36" s="408"/>
      <c r="K36" s="407">
        <v>0.10100000000000001</v>
      </c>
      <c r="L36" s="407">
        <v>8.3000000000000004E-2</v>
      </c>
      <c r="M36" s="417"/>
      <c r="N36" s="317" t="s">
        <v>279</v>
      </c>
      <c r="O36" s="88" t="s">
        <v>303</v>
      </c>
      <c r="P36" s="33"/>
      <c r="Q36" s="33"/>
      <c r="R36" s="33"/>
      <c r="S36" s="33"/>
      <c r="T36" s="4" t="s">
        <v>426</v>
      </c>
      <c r="V36" s="6" t="s">
        <v>2208</v>
      </c>
      <c r="W36" s="4" t="s">
        <v>427</v>
      </c>
      <c r="Y36" s="439" t="s">
        <v>413</v>
      </c>
      <c r="Z36" s="440">
        <v>0.15</v>
      </c>
      <c r="AA36" s="441" t="s">
        <v>42</v>
      </c>
      <c r="AB36" s="442" t="s">
        <v>428</v>
      </c>
      <c r="AC36" s="443" t="str">
        <f t="shared" si="0"/>
        <v>東京都八王子市</v>
      </c>
      <c r="AD36" s="464">
        <v>11.05</v>
      </c>
      <c r="AE36" s="442">
        <v>10.83</v>
      </c>
      <c r="AF36" s="463">
        <v>10.68</v>
      </c>
      <c r="AG36" s="447" t="s">
        <v>429</v>
      </c>
      <c r="AH36" s="440">
        <v>0.45</v>
      </c>
      <c r="AJ36" s="1"/>
      <c r="AK36" s="1"/>
      <c r="AL36" s="1"/>
      <c r="AM36" s="1"/>
      <c r="AN36" s="1"/>
      <c r="AO36" s="272" t="s">
        <v>2333</v>
      </c>
      <c r="AP36" s="273" t="s">
        <v>2344</v>
      </c>
      <c r="AQ36" s="374"/>
      <c r="AR36" s="269" t="s">
        <v>2331</v>
      </c>
      <c r="AS36" s="269" t="s">
        <v>2495</v>
      </c>
      <c r="AT36" s="270" t="s">
        <v>2359</v>
      </c>
      <c r="AU36" s="500"/>
      <c r="AV36" s="500"/>
      <c r="AX36" s="10" t="s">
        <v>2333</v>
      </c>
      <c r="AY36" s="10" t="s">
        <v>2491</v>
      </c>
      <c r="AZ36" s="359" t="s">
        <v>2387</v>
      </c>
      <c r="BA36" s="526" t="s">
        <v>2462</v>
      </c>
      <c r="BB36" s="84" t="s">
        <v>2388</v>
      </c>
      <c r="BC36" s="360"/>
      <c r="BD36" s="504"/>
    </row>
    <row r="37" spans="1:56" ht="68.25" thickBot="1">
      <c r="A37" s="617" t="s">
        <v>2516</v>
      </c>
      <c r="B37" s="279" t="s">
        <v>2304</v>
      </c>
      <c r="C37" s="407">
        <v>0.105</v>
      </c>
      <c r="D37" s="408"/>
      <c r="E37" s="407">
        <v>8.6999999999999994E-2</v>
      </c>
      <c r="F37" s="407">
        <v>6.8999999999999992E-2</v>
      </c>
      <c r="G37" s="407">
        <v>0.11700000000000001</v>
      </c>
      <c r="H37" s="407">
        <v>0.121</v>
      </c>
      <c r="I37" s="408"/>
      <c r="J37" s="408"/>
      <c r="K37" s="407">
        <v>9.9000000000000005E-2</v>
      </c>
      <c r="L37" s="407">
        <v>8.1000000000000003E-2</v>
      </c>
      <c r="M37" s="418"/>
      <c r="N37" s="317" t="s">
        <v>279</v>
      </c>
      <c r="O37" s="88" t="s">
        <v>286</v>
      </c>
      <c r="P37" s="33"/>
      <c r="Q37" s="33"/>
      <c r="R37" s="33"/>
      <c r="S37" s="33"/>
      <c r="T37" s="4" t="s">
        <v>430</v>
      </c>
      <c r="V37" s="6" t="s">
        <v>2208</v>
      </c>
      <c r="W37" s="4" t="s">
        <v>431</v>
      </c>
      <c r="Y37" s="439" t="s">
        <v>413</v>
      </c>
      <c r="Z37" s="440">
        <v>0.15</v>
      </c>
      <c r="AA37" s="441" t="s">
        <v>42</v>
      </c>
      <c r="AB37" s="442" t="s">
        <v>432</v>
      </c>
      <c r="AC37" s="443" t="str">
        <f t="shared" si="0"/>
        <v>東京都武蔵野市</v>
      </c>
      <c r="AD37" s="464">
        <v>11.05</v>
      </c>
      <c r="AE37" s="442">
        <v>10.83</v>
      </c>
      <c r="AF37" s="463">
        <v>10.68</v>
      </c>
      <c r="AG37" s="447" t="s">
        <v>433</v>
      </c>
      <c r="AH37" s="440">
        <v>0.45</v>
      </c>
      <c r="AJ37" s="1"/>
      <c r="AK37" s="1"/>
      <c r="AL37" s="1"/>
      <c r="AM37" s="1"/>
      <c r="AN37" s="1"/>
      <c r="AO37" s="494" t="s">
        <v>2334</v>
      </c>
      <c r="AP37" s="495" t="s">
        <v>2344</v>
      </c>
      <c r="AQ37" s="374"/>
      <c r="AR37" s="4" t="s">
        <v>2332</v>
      </c>
      <c r="AS37" s="4" t="s">
        <v>2496</v>
      </c>
      <c r="AT37" s="270" t="s">
        <v>2359</v>
      </c>
      <c r="AU37" s="500"/>
      <c r="AV37" s="500"/>
      <c r="AX37" s="10" t="s">
        <v>2334</v>
      </c>
      <c r="AY37" s="10" t="s">
        <v>2492</v>
      </c>
      <c r="AZ37" s="359" t="s">
        <v>2387</v>
      </c>
      <c r="BA37" s="526" t="s">
        <v>2462</v>
      </c>
      <c r="BB37" s="84" t="s">
        <v>2388</v>
      </c>
      <c r="BC37" s="360"/>
      <c r="BD37" s="504"/>
    </row>
    <row r="38" spans="1:56" ht="24.75" thickBot="1">
      <c r="A38" s="617" t="s">
        <v>2517</v>
      </c>
      <c r="B38" s="279" t="s">
        <v>2306</v>
      </c>
      <c r="C38" s="407">
        <v>0.104</v>
      </c>
      <c r="D38" s="408"/>
      <c r="E38" s="407">
        <v>8.5999999999999993E-2</v>
      </c>
      <c r="F38" s="407">
        <v>6.8999999999999992E-2</v>
      </c>
      <c r="G38" s="407">
        <v>0.11600000000000001</v>
      </c>
      <c r="H38" s="407">
        <v>0.12</v>
      </c>
      <c r="I38" s="408"/>
      <c r="J38" s="408"/>
      <c r="K38" s="407">
        <v>9.8000000000000004E-2</v>
      </c>
      <c r="L38" s="407">
        <v>8.1000000000000003E-2</v>
      </c>
      <c r="M38" s="418"/>
      <c r="N38" s="317" t="s">
        <v>279</v>
      </c>
      <c r="O38" s="88" t="s">
        <v>303</v>
      </c>
      <c r="P38" s="33"/>
      <c r="Q38" s="33"/>
      <c r="R38" s="33"/>
      <c r="S38" s="33"/>
      <c r="T38" s="4" t="s">
        <v>434</v>
      </c>
      <c r="V38" s="6" t="s">
        <v>2208</v>
      </c>
      <c r="W38" s="4" t="s">
        <v>435</v>
      </c>
      <c r="Y38" s="439" t="s">
        <v>413</v>
      </c>
      <c r="Z38" s="440">
        <v>0.15</v>
      </c>
      <c r="AA38" s="441" t="s">
        <v>42</v>
      </c>
      <c r="AB38" s="442" t="s">
        <v>436</v>
      </c>
      <c r="AC38" s="443" t="str">
        <f t="shared" si="0"/>
        <v>東京都三鷹市</v>
      </c>
      <c r="AD38" s="464">
        <v>11.05</v>
      </c>
      <c r="AE38" s="442">
        <v>10.83</v>
      </c>
      <c r="AF38" s="463">
        <v>10.68</v>
      </c>
      <c r="AG38" s="439" t="s">
        <v>437</v>
      </c>
      <c r="AH38" s="440">
        <v>0.45</v>
      </c>
      <c r="AJ38" s="1"/>
      <c r="AK38" s="1"/>
      <c r="AL38" s="1"/>
      <c r="AM38" s="1"/>
      <c r="AN38" s="1"/>
      <c r="AO38" s="497"/>
      <c r="AP38" s="498"/>
      <c r="AQ38" s="374"/>
      <c r="AR38" s="269" t="s">
        <v>2333</v>
      </c>
      <c r="AS38" s="269" t="s">
        <v>2497</v>
      </c>
      <c r="AT38" s="270" t="s">
        <v>2359</v>
      </c>
      <c r="AU38" s="500"/>
      <c r="AV38" s="501"/>
      <c r="AX38" s="91" t="s">
        <v>2335</v>
      </c>
      <c r="AY38" s="91" t="s">
        <v>2385</v>
      </c>
      <c r="AZ38" s="359" t="s">
        <v>2389</v>
      </c>
      <c r="BA38" s="83" t="s">
        <v>2463</v>
      </c>
      <c r="BB38" s="83" t="s">
        <v>475</v>
      </c>
      <c r="BC38" s="26"/>
      <c r="BD38" s="26"/>
    </row>
    <row r="39" spans="1:56" ht="24.75" thickBot="1">
      <c r="A39" s="91" t="s">
        <v>2335</v>
      </c>
      <c r="B39" s="279" t="s">
        <v>2336</v>
      </c>
      <c r="C39" s="403"/>
      <c r="D39" s="404"/>
      <c r="E39" s="404"/>
      <c r="F39" s="404"/>
      <c r="G39" s="412"/>
      <c r="H39" s="412"/>
      <c r="I39" s="412"/>
      <c r="J39" s="412"/>
      <c r="K39" s="412"/>
      <c r="L39" s="412"/>
      <c r="M39" s="358">
        <v>5.0999999999999997E-2</v>
      </c>
      <c r="N39" s="317" t="s">
        <v>2343</v>
      </c>
      <c r="O39" s="88" t="s">
        <v>286</v>
      </c>
      <c r="P39" s="33"/>
      <c r="Q39" s="33"/>
      <c r="R39" s="33"/>
      <c r="S39" s="33"/>
      <c r="T39" s="4" t="s">
        <v>438</v>
      </c>
      <c r="V39" s="6" t="s">
        <v>2208</v>
      </c>
      <c r="W39" s="4" t="s">
        <v>439</v>
      </c>
      <c r="Y39" s="439" t="s">
        <v>413</v>
      </c>
      <c r="Z39" s="440">
        <v>0.15</v>
      </c>
      <c r="AA39" s="441" t="s">
        <v>42</v>
      </c>
      <c r="AB39" s="442" t="s">
        <v>440</v>
      </c>
      <c r="AC39" s="443" t="str">
        <f t="shared" si="0"/>
        <v>東京都青梅市</v>
      </c>
      <c r="AD39" s="464">
        <v>11.05</v>
      </c>
      <c r="AE39" s="442">
        <v>10.83</v>
      </c>
      <c r="AF39" s="463">
        <v>10.68</v>
      </c>
      <c r="AG39" s="465" t="s">
        <v>441</v>
      </c>
      <c r="AH39" s="466">
        <v>0.45</v>
      </c>
      <c r="AJ39" s="1"/>
      <c r="AK39" s="1"/>
      <c r="AL39" s="1"/>
      <c r="AM39" s="1"/>
      <c r="AN39" s="1"/>
      <c r="AO39" s="496"/>
      <c r="AP39" s="374"/>
      <c r="AQ39" s="374"/>
      <c r="AR39" s="269" t="s">
        <v>2334</v>
      </c>
      <c r="AS39" s="269" t="s">
        <v>2498</v>
      </c>
      <c r="AT39" s="270" t="s">
        <v>2359</v>
      </c>
      <c r="AU39" s="500"/>
      <c r="AV39" s="500"/>
      <c r="AX39" s="79" t="s">
        <v>2337</v>
      </c>
      <c r="AY39" s="79" t="s">
        <v>2447</v>
      </c>
      <c r="AZ39" s="359" t="s">
        <v>2389</v>
      </c>
      <c r="BA39" s="83" t="s">
        <v>2463</v>
      </c>
      <c r="BB39" s="83" t="s">
        <v>475</v>
      </c>
      <c r="BC39" s="26"/>
      <c r="BD39" s="26"/>
    </row>
    <row r="40" spans="1:56" ht="24.75" thickBot="1">
      <c r="A40" s="79" t="s">
        <v>2337</v>
      </c>
      <c r="B40" s="278" t="s">
        <v>2338</v>
      </c>
      <c r="C40" s="403"/>
      <c r="D40" s="404"/>
      <c r="E40" s="404"/>
      <c r="F40" s="404"/>
      <c r="G40" s="412"/>
      <c r="H40" s="412"/>
      <c r="I40" s="412"/>
      <c r="J40" s="412"/>
      <c r="K40" s="412"/>
      <c r="L40" s="412"/>
      <c r="M40" s="358">
        <v>5.0999999999999997E-2</v>
      </c>
      <c r="N40" s="317" t="s">
        <v>2343</v>
      </c>
      <c r="O40" s="88" t="s">
        <v>286</v>
      </c>
      <c r="P40" s="33"/>
      <c r="Q40" s="33"/>
      <c r="R40" s="33"/>
      <c r="S40" s="33"/>
      <c r="T40" s="4" t="s">
        <v>442</v>
      </c>
      <c r="V40" s="6" t="s">
        <v>2208</v>
      </c>
      <c r="W40" s="4" t="s">
        <v>443</v>
      </c>
      <c r="Y40" s="439" t="s">
        <v>413</v>
      </c>
      <c r="Z40" s="440">
        <v>0.15</v>
      </c>
      <c r="AA40" s="441" t="s">
        <v>42</v>
      </c>
      <c r="AB40" s="442" t="s">
        <v>444</v>
      </c>
      <c r="AC40" s="443" t="str">
        <f t="shared" si="0"/>
        <v>東京都府中市</v>
      </c>
      <c r="AD40" s="464">
        <v>11.05</v>
      </c>
      <c r="AE40" s="442">
        <v>10.83</v>
      </c>
      <c r="AF40" s="443">
        <v>10.68</v>
      </c>
      <c r="AG40" s="465" t="s">
        <v>445</v>
      </c>
      <c r="AH40" s="466">
        <v>0.45</v>
      </c>
      <c r="AJ40" s="1"/>
      <c r="AK40" s="1"/>
      <c r="AL40" s="1"/>
      <c r="AM40" s="1"/>
      <c r="AN40" s="1"/>
      <c r="AO40" s="496"/>
      <c r="AP40" s="374"/>
      <c r="AQ40" s="374"/>
      <c r="AR40" s="496"/>
      <c r="AS40" s="496"/>
      <c r="AT40" s="500"/>
      <c r="AU40" s="500"/>
      <c r="AV40" s="500"/>
      <c r="AX40" s="362" t="s">
        <v>2339</v>
      </c>
      <c r="AY40" s="362" t="s">
        <v>2446</v>
      </c>
      <c r="AZ40" s="359" t="s">
        <v>2389</v>
      </c>
      <c r="BA40" s="83" t="s">
        <v>2463</v>
      </c>
      <c r="BB40" s="83" t="s">
        <v>475</v>
      </c>
      <c r="BC40" s="26"/>
      <c r="BD40" s="26"/>
    </row>
    <row r="41" spans="1:56" ht="24.75" thickBot="1">
      <c r="A41" s="362" t="s">
        <v>2339</v>
      </c>
      <c r="B41" s="363" t="s">
        <v>2340</v>
      </c>
      <c r="C41" s="403"/>
      <c r="D41" s="404"/>
      <c r="E41" s="404"/>
      <c r="F41" s="404"/>
      <c r="G41" s="413"/>
      <c r="H41" s="413"/>
      <c r="I41" s="413"/>
      <c r="J41" s="413"/>
      <c r="K41" s="413"/>
      <c r="L41" s="413"/>
      <c r="M41" s="358">
        <v>5.0999999999999997E-2</v>
      </c>
      <c r="N41" s="317" t="s">
        <v>2343</v>
      </c>
      <c r="O41" s="92" t="s">
        <v>303</v>
      </c>
      <c r="P41" s="33"/>
      <c r="Q41" s="33"/>
      <c r="R41" s="33"/>
      <c r="S41" s="33"/>
      <c r="T41" s="4" t="s">
        <v>446</v>
      </c>
      <c r="V41" s="6" t="s">
        <v>2208</v>
      </c>
      <c r="W41" s="4" t="s">
        <v>447</v>
      </c>
      <c r="Y41" s="439" t="s">
        <v>413</v>
      </c>
      <c r="Z41" s="440">
        <v>0.15</v>
      </c>
      <c r="AA41" s="441" t="s">
        <v>42</v>
      </c>
      <c r="AB41" s="442" t="s">
        <v>448</v>
      </c>
      <c r="AC41" s="443" t="str">
        <f t="shared" si="0"/>
        <v>東京都小金井市</v>
      </c>
      <c r="AD41" s="464">
        <v>11.05</v>
      </c>
      <c r="AE41" s="442">
        <v>10.83</v>
      </c>
      <c r="AF41" s="443">
        <v>10.68</v>
      </c>
      <c r="AG41" s="472" t="s">
        <v>449</v>
      </c>
      <c r="AH41" s="473">
        <v>0.7</v>
      </c>
      <c r="AJ41" s="1"/>
      <c r="AK41" s="1"/>
      <c r="AL41" s="1"/>
      <c r="AM41" s="1"/>
      <c r="AN41" s="1"/>
      <c r="AO41" s="400"/>
      <c r="AP41" s="374"/>
      <c r="AQ41" s="374"/>
      <c r="AR41" s="400"/>
      <c r="AS41" s="496"/>
      <c r="AT41" s="503"/>
      <c r="AU41" s="502"/>
      <c r="AV41" s="501"/>
      <c r="AX41" s="401" t="s">
        <v>2341</v>
      </c>
      <c r="AY41" s="401" t="s">
        <v>2386</v>
      </c>
      <c r="AZ41" s="359" t="s">
        <v>2389</v>
      </c>
      <c r="BA41" s="83" t="s">
        <v>2463</v>
      </c>
      <c r="BB41" s="83" t="s">
        <v>475</v>
      </c>
      <c r="BC41" s="26"/>
      <c r="BD41" s="26"/>
    </row>
    <row r="42" spans="1:56" ht="15" thickBot="1">
      <c r="A42" s="401" t="s">
        <v>2341</v>
      </c>
      <c r="B42" s="402" t="s">
        <v>2342</v>
      </c>
      <c r="C42" s="405"/>
      <c r="D42" s="406"/>
      <c r="E42" s="406"/>
      <c r="F42" s="406"/>
      <c r="G42" s="414"/>
      <c r="H42" s="414"/>
      <c r="I42" s="414"/>
      <c r="J42" s="414"/>
      <c r="K42" s="414"/>
      <c r="L42" s="414"/>
      <c r="M42" s="358">
        <v>5.0999999999999997E-2</v>
      </c>
      <c r="N42" s="317" t="s">
        <v>2343</v>
      </c>
      <c r="O42" s="89" t="s">
        <v>450</v>
      </c>
      <c r="P42" s="33"/>
      <c r="Q42" s="33"/>
      <c r="R42" s="33"/>
      <c r="S42" s="33"/>
      <c r="T42" s="4" t="s">
        <v>451</v>
      </c>
      <c r="V42" s="6" t="s">
        <v>2208</v>
      </c>
      <c r="W42" s="4" t="s">
        <v>452</v>
      </c>
      <c r="Y42" s="439" t="s">
        <v>413</v>
      </c>
      <c r="Z42" s="440">
        <v>0.15</v>
      </c>
      <c r="AA42" s="441" t="s">
        <v>42</v>
      </c>
      <c r="AB42" s="442" t="s">
        <v>453</v>
      </c>
      <c r="AC42" s="443" t="str">
        <f t="shared" si="0"/>
        <v>東京都小平市</v>
      </c>
      <c r="AD42" s="464">
        <v>11.05</v>
      </c>
      <c r="AE42" s="442">
        <v>10.83</v>
      </c>
      <c r="AF42" s="443">
        <v>10.68</v>
      </c>
      <c r="AG42" s="474" t="s">
        <v>454</v>
      </c>
      <c r="AH42" s="475">
        <v>0.7</v>
      </c>
      <c r="AJ42" s="1"/>
      <c r="AK42" s="1"/>
      <c r="AL42" s="1"/>
      <c r="AM42" s="1"/>
      <c r="AN42" s="1"/>
      <c r="AO42" s="400"/>
      <c r="AP42" s="374"/>
      <c r="AQ42" s="374"/>
      <c r="AR42" s="400"/>
      <c r="AS42" s="496"/>
      <c r="AT42" s="503"/>
      <c r="AU42" s="502"/>
      <c r="AV42" s="501"/>
      <c r="AX42" s="394"/>
      <c r="AY42" s="496"/>
      <c r="AZ42" s="277"/>
      <c r="BA42" s="277"/>
      <c r="BB42" s="277"/>
      <c r="BC42" s="277"/>
      <c r="BD42" s="504"/>
    </row>
    <row r="43" spans="1:56" ht="15" thickBot="1">
      <c r="A43" s="391"/>
      <c r="B43" s="392"/>
      <c r="C43" s="396"/>
      <c r="D43" s="396"/>
      <c r="E43" s="396"/>
      <c r="F43" s="396"/>
      <c r="G43" s="393"/>
      <c r="H43" s="393"/>
      <c r="I43" s="393"/>
      <c r="J43" s="393"/>
      <c r="K43" s="393"/>
      <c r="L43" s="393"/>
      <c r="M43" s="393"/>
      <c r="N43" s="390"/>
      <c r="O43" s="390"/>
      <c r="P43" s="33"/>
      <c r="Q43" s="33"/>
      <c r="R43" s="33"/>
      <c r="S43" s="33"/>
      <c r="T43" s="4" t="s">
        <v>455</v>
      </c>
      <c r="V43" s="6" t="s">
        <v>2208</v>
      </c>
      <c r="W43" s="4" t="s">
        <v>456</v>
      </c>
      <c r="Y43" s="439" t="s">
        <v>413</v>
      </c>
      <c r="Z43" s="440">
        <v>0.15</v>
      </c>
      <c r="AA43" s="441" t="s">
        <v>42</v>
      </c>
      <c r="AB43" s="442" t="s">
        <v>457</v>
      </c>
      <c r="AC43" s="443" t="str">
        <f t="shared" si="0"/>
        <v>東京都日野市</v>
      </c>
      <c r="AD43" s="464">
        <v>11.05</v>
      </c>
      <c r="AE43" s="442">
        <v>10.83</v>
      </c>
      <c r="AF43" s="443">
        <v>10.68</v>
      </c>
      <c r="AG43" s="474" t="s">
        <v>458</v>
      </c>
      <c r="AH43" s="475">
        <v>0.7</v>
      </c>
      <c r="AJ43" s="1"/>
      <c r="AK43" s="1"/>
      <c r="AL43" s="1"/>
      <c r="AM43" s="1"/>
      <c r="AN43" s="1"/>
      <c r="AO43" s="400"/>
      <c r="AP43" s="374"/>
      <c r="AQ43" s="374"/>
      <c r="AR43" s="400"/>
      <c r="AS43" s="496"/>
      <c r="AT43" s="503"/>
      <c r="AU43" s="502"/>
      <c r="AV43" s="501"/>
      <c r="AX43" s="394"/>
      <c r="AY43" s="496"/>
      <c r="AZ43" s="277"/>
      <c r="BA43" s="277"/>
      <c r="BB43" s="277"/>
      <c r="BC43" s="277"/>
      <c r="BD43" s="504"/>
    </row>
    <row r="44" spans="1:56" ht="15" thickBot="1">
      <c r="A44" s="394"/>
      <c r="B44" s="395"/>
      <c r="C44" s="396"/>
      <c r="D44" s="396"/>
      <c r="E44" s="396"/>
      <c r="F44" s="396"/>
      <c r="G44" s="397"/>
      <c r="H44" s="397"/>
      <c r="I44" s="397"/>
      <c r="J44" s="397"/>
      <c r="K44" s="397"/>
      <c r="L44" s="397"/>
      <c r="M44" s="397"/>
      <c r="N44" s="277"/>
      <c r="O44" s="277"/>
      <c r="P44" s="33"/>
      <c r="Q44" s="33"/>
      <c r="R44" s="33"/>
      <c r="S44" s="33"/>
      <c r="T44" s="4" t="s">
        <v>459</v>
      </c>
      <c r="V44" s="6" t="s">
        <v>2208</v>
      </c>
      <c r="W44" s="4" t="s">
        <v>460</v>
      </c>
      <c r="Y44" s="439" t="s">
        <v>413</v>
      </c>
      <c r="Z44" s="440">
        <v>0.15</v>
      </c>
      <c r="AA44" s="441" t="s">
        <v>42</v>
      </c>
      <c r="AB44" s="442" t="s">
        <v>461</v>
      </c>
      <c r="AC44" s="443" t="str">
        <f t="shared" si="0"/>
        <v>東京都東村山市</v>
      </c>
      <c r="AD44" s="464">
        <v>11.05</v>
      </c>
      <c r="AE44" s="442">
        <v>10.83</v>
      </c>
      <c r="AF44" s="443">
        <v>10.68</v>
      </c>
      <c r="AG44" s="474" t="s">
        <v>462</v>
      </c>
      <c r="AH44" s="440">
        <v>0.45</v>
      </c>
      <c r="AJ44" s="1"/>
      <c r="AK44" s="1"/>
      <c r="AL44" s="1"/>
      <c r="AM44" s="1"/>
      <c r="AN44" s="1"/>
      <c r="AO44" s="400"/>
      <c r="AP44" s="374"/>
      <c r="AQ44" s="374"/>
      <c r="AR44" s="400"/>
      <c r="AS44" s="496"/>
      <c r="AT44" s="502"/>
      <c r="AU44" s="502"/>
      <c r="AV44" s="502"/>
      <c r="AX44" s="394"/>
      <c r="AY44" s="496"/>
      <c r="AZ44" s="277"/>
      <c r="BA44" s="277"/>
      <c r="BB44" s="277"/>
      <c r="BC44" s="277"/>
      <c r="BD44" s="504"/>
    </row>
    <row r="45" spans="1:56" ht="24.75" thickBot="1">
      <c r="A45" s="398"/>
      <c r="B45" s="298" t="s">
        <v>182</v>
      </c>
      <c r="C45" s="299" t="s">
        <v>270</v>
      </c>
      <c r="D45" s="299" t="s">
        <v>196</v>
      </c>
      <c r="E45" s="519" t="s">
        <v>271</v>
      </c>
      <c r="F45" s="300"/>
      <c r="G45" s="397"/>
      <c r="H45" s="397"/>
      <c r="I45" s="397"/>
      <c r="J45" s="397"/>
      <c r="K45" s="397"/>
      <c r="L45" s="397"/>
      <c r="M45" s="397"/>
      <c r="N45" s="277"/>
      <c r="O45" s="277"/>
      <c r="P45" s="33"/>
      <c r="Q45" s="33"/>
      <c r="R45" s="33"/>
      <c r="S45" s="33"/>
      <c r="T45" s="4" t="s">
        <v>463</v>
      </c>
      <c r="V45" s="6" t="s">
        <v>2208</v>
      </c>
      <c r="W45" s="4" t="s">
        <v>464</v>
      </c>
      <c r="Y45" s="439" t="s">
        <v>413</v>
      </c>
      <c r="Z45" s="440">
        <v>0.15</v>
      </c>
      <c r="AA45" s="441" t="s">
        <v>42</v>
      </c>
      <c r="AB45" s="442" t="s">
        <v>465</v>
      </c>
      <c r="AC45" s="443" t="str">
        <f t="shared" si="0"/>
        <v>東京都国分寺市</v>
      </c>
      <c r="AD45" s="464">
        <v>11.05</v>
      </c>
      <c r="AE45" s="442">
        <v>10.83</v>
      </c>
      <c r="AF45" s="443">
        <v>10.68</v>
      </c>
      <c r="AG45" s="474" t="s">
        <v>466</v>
      </c>
      <c r="AH45" s="440">
        <v>0.45</v>
      </c>
      <c r="AJ45" s="1"/>
      <c r="AK45" s="1"/>
      <c r="AL45" s="1"/>
      <c r="AM45" s="1"/>
      <c r="AN45" s="1"/>
      <c r="AO45" s="400"/>
      <c r="AP45" s="374"/>
      <c r="AQ45" s="374"/>
      <c r="AR45" s="400"/>
      <c r="AS45" s="496"/>
      <c r="AT45" s="502"/>
      <c r="AU45" s="502"/>
      <c r="AV45" s="502"/>
      <c r="AX45" s="394"/>
      <c r="AY45" s="496"/>
      <c r="AZ45" s="277"/>
      <c r="BA45" s="277"/>
      <c r="BB45" s="277"/>
      <c r="BC45" s="277"/>
      <c r="BD45" s="504"/>
    </row>
    <row r="46" spans="1:56" ht="15" thickBot="1">
      <c r="A46" s="398"/>
      <c r="B46" s="395"/>
      <c r="C46" s="396"/>
      <c r="D46" s="396"/>
      <c r="E46" s="396"/>
      <c r="F46" s="396"/>
      <c r="G46" s="397"/>
      <c r="H46" s="397"/>
      <c r="I46" s="397"/>
      <c r="J46" s="397"/>
      <c r="K46" s="397"/>
      <c r="L46" s="397"/>
      <c r="M46" s="397"/>
      <c r="N46" s="277"/>
      <c r="O46" s="277"/>
      <c r="P46" s="33"/>
      <c r="Q46" s="33"/>
      <c r="R46" s="33"/>
      <c r="S46" s="33"/>
      <c r="T46" s="4" t="s">
        <v>467</v>
      </c>
      <c r="V46" s="6" t="s">
        <v>2208</v>
      </c>
      <c r="W46" s="4" t="s">
        <v>468</v>
      </c>
      <c r="Y46" s="439" t="s">
        <v>413</v>
      </c>
      <c r="Z46" s="440">
        <v>0.15</v>
      </c>
      <c r="AA46" s="441" t="s">
        <v>42</v>
      </c>
      <c r="AB46" s="442" t="s">
        <v>469</v>
      </c>
      <c r="AC46" s="443" t="str">
        <f t="shared" si="0"/>
        <v>東京都国立市</v>
      </c>
      <c r="AD46" s="464">
        <v>11.05</v>
      </c>
      <c r="AE46" s="442">
        <v>10.83</v>
      </c>
      <c r="AF46" s="443">
        <v>10.68</v>
      </c>
      <c r="AG46" s="474" t="s">
        <v>470</v>
      </c>
      <c r="AH46" s="440">
        <v>0.45</v>
      </c>
      <c r="AJ46" s="1"/>
      <c r="AK46" s="1"/>
      <c r="AL46" s="1"/>
      <c r="AM46" s="1"/>
      <c r="AN46" s="1"/>
      <c r="AO46" s="400"/>
      <c r="AP46" s="374"/>
      <c r="AQ46" s="374"/>
      <c r="AR46" s="400"/>
      <c r="AS46" s="496"/>
      <c r="AT46" s="502"/>
      <c r="AU46" s="502"/>
      <c r="AV46" s="502"/>
      <c r="AX46" s="394"/>
      <c r="AY46" s="496"/>
      <c r="AZ46" s="277"/>
      <c r="BA46" s="277"/>
      <c r="BB46" s="277"/>
      <c r="BC46" s="277"/>
      <c r="BD46" s="504"/>
    </row>
    <row r="47" spans="1:56" ht="15" thickBot="1">
      <c r="A47" s="398"/>
      <c r="B47" s="395"/>
      <c r="C47" s="396"/>
      <c r="D47" s="396"/>
      <c r="E47" s="396"/>
      <c r="F47" s="396"/>
      <c r="G47" s="397"/>
      <c r="H47" s="397"/>
      <c r="I47" s="397"/>
      <c r="J47" s="397"/>
      <c r="K47" s="397"/>
      <c r="L47" s="397"/>
      <c r="M47" s="397"/>
      <c r="N47" s="277"/>
      <c r="O47" s="277"/>
      <c r="P47" s="33"/>
      <c r="Q47" s="33"/>
      <c r="R47" s="33"/>
      <c r="S47" s="33"/>
      <c r="T47" s="4" t="s">
        <v>471</v>
      </c>
      <c r="V47" s="6" t="s">
        <v>2208</v>
      </c>
      <c r="W47" s="4" t="s">
        <v>472</v>
      </c>
      <c r="Y47" s="439" t="s">
        <v>413</v>
      </c>
      <c r="Z47" s="440">
        <v>0.15</v>
      </c>
      <c r="AA47" s="441" t="s">
        <v>42</v>
      </c>
      <c r="AB47" s="442" t="s">
        <v>473</v>
      </c>
      <c r="AC47" s="443" t="str">
        <f t="shared" si="0"/>
        <v>東京都清瀬市</v>
      </c>
      <c r="AD47" s="464">
        <v>11.05</v>
      </c>
      <c r="AE47" s="442">
        <v>10.83</v>
      </c>
      <c r="AF47" s="443">
        <v>10.68</v>
      </c>
      <c r="AG47" s="465" t="s">
        <v>474</v>
      </c>
      <c r="AH47" s="466">
        <v>0.7</v>
      </c>
      <c r="AJ47" s="1"/>
      <c r="AK47" s="1"/>
      <c r="AL47" s="1"/>
      <c r="AM47" s="1"/>
      <c r="AN47" s="1"/>
      <c r="AO47" s="2"/>
      <c r="AP47" s="2"/>
      <c r="AQ47" s="2"/>
      <c r="AR47" s="400"/>
      <c r="AS47" s="496"/>
      <c r="AT47" s="502"/>
      <c r="AU47" s="502"/>
      <c r="AV47" s="502"/>
      <c r="AX47" s="400"/>
      <c r="AY47" s="496"/>
      <c r="AZ47" s="277"/>
      <c r="BA47" s="277"/>
      <c r="BB47" s="277"/>
      <c r="BC47" s="277"/>
      <c r="BD47" s="504"/>
    </row>
    <row r="48" spans="1:56" ht="24" customHeight="1" thickBot="1">
      <c r="A48" s="398"/>
      <c r="B48" s="395"/>
      <c r="C48" s="396"/>
      <c r="D48" s="396"/>
      <c r="E48" s="396"/>
      <c r="F48" s="396"/>
      <c r="G48" s="397"/>
      <c r="H48" s="397"/>
      <c r="I48" s="397"/>
      <c r="J48" s="397"/>
      <c r="K48" s="397"/>
      <c r="L48" s="397"/>
      <c r="M48" s="397"/>
      <c r="N48" s="277"/>
      <c r="O48" s="277"/>
      <c r="P48" s="33"/>
      <c r="Q48" s="33"/>
      <c r="R48" s="33"/>
      <c r="S48" s="33"/>
      <c r="T48" s="4" t="s">
        <v>476</v>
      </c>
      <c r="V48" s="6" t="s">
        <v>2208</v>
      </c>
      <c r="W48" s="4" t="s">
        <v>477</v>
      </c>
      <c r="Y48" s="439" t="s">
        <v>413</v>
      </c>
      <c r="Z48" s="440">
        <v>0.15</v>
      </c>
      <c r="AA48" s="441" t="s">
        <v>42</v>
      </c>
      <c r="AB48" s="442" t="s">
        <v>478</v>
      </c>
      <c r="AC48" s="443" t="str">
        <f t="shared" si="0"/>
        <v>東京都東久留米市</v>
      </c>
      <c r="AD48" s="464">
        <v>11.05</v>
      </c>
      <c r="AE48" s="442">
        <v>10.83</v>
      </c>
      <c r="AF48" s="443">
        <v>10.68</v>
      </c>
      <c r="AG48" s="476" t="s">
        <v>43</v>
      </c>
      <c r="AH48" s="432">
        <v>0.7</v>
      </c>
      <c r="AJ48" s="1"/>
      <c r="AK48" s="1"/>
      <c r="AL48" s="1"/>
      <c r="AM48" s="1"/>
      <c r="AN48" s="1"/>
      <c r="AO48" s="2"/>
      <c r="AP48" s="2"/>
      <c r="AQ48" s="2"/>
      <c r="AR48" s="400"/>
      <c r="AS48" s="496"/>
      <c r="AT48" s="502"/>
      <c r="AU48" s="502"/>
      <c r="AV48" s="502"/>
      <c r="AX48" s="400"/>
      <c r="AY48" s="496"/>
      <c r="AZ48" s="277"/>
      <c r="BA48" s="277"/>
      <c r="BB48" s="277"/>
      <c r="BC48" s="277"/>
      <c r="BD48" s="504"/>
    </row>
    <row r="49" spans="1:56" ht="15" customHeight="1" thickBot="1">
      <c r="A49" s="398"/>
      <c r="B49" s="395"/>
      <c r="C49" s="396"/>
      <c r="D49" s="396"/>
      <c r="E49" s="396"/>
      <c r="F49" s="396"/>
      <c r="G49" s="397"/>
      <c r="H49" s="397"/>
      <c r="I49" s="397"/>
      <c r="J49" s="397"/>
      <c r="K49" s="397"/>
      <c r="L49" s="397"/>
      <c r="M49" s="397"/>
      <c r="N49" s="277"/>
      <c r="O49" s="277"/>
      <c r="P49" s="33"/>
      <c r="Q49" s="33"/>
      <c r="R49" s="33"/>
      <c r="S49" s="33"/>
      <c r="T49" s="5" t="s">
        <v>479</v>
      </c>
      <c r="V49" s="6" t="s">
        <v>2208</v>
      </c>
      <c r="W49" s="4" t="s">
        <v>480</v>
      </c>
      <c r="Y49" s="439" t="s">
        <v>413</v>
      </c>
      <c r="Z49" s="440">
        <v>0.15</v>
      </c>
      <c r="AA49" s="441" t="s">
        <v>42</v>
      </c>
      <c r="AB49" s="442" t="s">
        <v>481</v>
      </c>
      <c r="AC49" s="443" t="str">
        <f t="shared" si="0"/>
        <v>東京都稲城市</v>
      </c>
      <c r="AD49" s="464">
        <v>11.05</v>
      </c>
      <c r="AE49" s="442">
        <v>10.83</v>
      </c>
      <c r="AF49" s="443">
        <v>10.68</v>
      </c>
      <c r="AG49" s="477" t="s">
        <v>482</v>
      </c>
      <c r="AH49" s="440">
        <v>0.7</v>
      </c>
      <c r="AJ49" s="1"/>
      <c r="AK49" s="1"/>
      <c r="AL49" s="1"/>
      <c r="AM49" s="1"/>
      <c r="AN49" s="1"/>
      <c r="AO49" s="2"/>
      <c r="AP49" s="2"/>
      <c r="AQ49" s="2"/>
      <c r="AR49" s="400"/>
      <c r="AS49" s="496"/>
      <c r="AT49" s="502"/>
      <c r="AU49" s="502"/>
      <c r="AV49" s="502"/>
      <c r="AX49" s="400"/>
      <c r="AY49" s="496"/>
      <c r="AZ49" s="277"/>
      <c r="BA49" s="277"/>
      <c r="BB49" s="277"/>
      <c r="BC49" s="277"/>
      <c r="BD49" s="504"/>
    </row>
    <row r="50" spans="1:56" ht="15" thickBot="1">
      <c r="A50" s="398"/>
      <c r="B50" s="395"/>
      <c r="C50" s="396"/>
      <c r="D50" s="396"/>
      <c r="E50" s="396"/>
      <c r="F50" s="396"/>
      <c r="G50" s="397"/>
      <c r="H50" s="397"/>
      <c r="I50" s="397"/>
      <c r="J50" s="397"/>
      <c r="K50" s="397"/>
      <c r="L50" s="397"/>
      <c r="M50" s="397"/>
      <c r="N50" s="277"/>
      <c r="O50" s="277"/>
      <c r="P50" s="33"/>
      <c r="Q50" s="33"/>
      <c r="R50" s="33"/>
      <c r="S50" s="33"/>
      <c r="T50" s="2"/>
      <c r="V50" s="6" t="s">
        <v>2208</v>
      </c>
      <c r="W50" s="4" t="s">
        <v>483</v>
      </c>
      <c r="Y50" s="439" t="s">
        <v>413</v>
      </c>
      <c r="Z50" s="440">
        <v>0.15</v>
      </c>
      <c r="AA50" s="441" t="s">
        <v>42</v>
      </c>
      <c r="AB50" s="442" t="s">
        <v>484</v>
      </c>
      <c r="AC50" s="443" t="str">
        <f t="shared" si="0"/>
        <v>東京都西東京市</v>
      </c>
      <c r="AD50" s="464">
        <v>11.05</v>
      </c>
      <c r="AE50" s="442">
        <v>10.83</v>
      </c>
      <c r="AF50" s="443">
        <v>10.68</v>
      </c>
      <c r="AG50" s="478" t="s">
        <v>485</v>
      </c>
      <c r="AH50" s="440">
        <v>0.55000000000000004</v>
      </c>
      <c r="AJ50" s="1"/>
      <c r="AK50" s="1"/>
      <c r="AL50" s="1"/>
      <c r="AM50" s="1"/>
      <c r="AN50" s="1"/>
      <c r="AO50" s="2"/>
      <c r="AP50" s="2"/>
      <c r="AQ50" s="2"/>
      <c r="AR50" s="86"/>
      <c r="AS50" s="86"/>
      <c r="AT50" s="2"/>
      <c r="AU50" s="2"/>
      <c r="AV50" s="2"/>
      <c r="AX50" s="400"/>
      <c r="AY50" s="496"/>
      <c r="AZ50" s="277"/>
      <c r="BA50" s="277"/>
      <c r="BB50" s="277"/>
      <c r="BC50" s="277"/>
      <c r="BD50" s="504"/>
    </row>
    <row r="51" spans="1:56" ht="15" thickBot="1">
      <c r="A51" s="394"/>
      <c r="B51" s="395"/>
      <c r="C51" s="277"/>
      <c r="D51" s="277"/>
      <c r="E51" s="277"/>
      <c r="F51" s="277"/>
      <c r="G51" s="277"/>
      <c r="H51" s="277"/>
      <c r="I51" s="277"/>
      <c r="J51" s="277"/>
      <c r="K51" s="277"/>
      <c r="L51" s="277"/>
      <c r="M51" s="277"/>
      <c r="N51" s="277"/>
      <c r="O51" s="277"/>
      <c r="P51" s="33"/>
      <c r="Q51" s="33"/>
      <c r="R51" s="33"/>
      <c r="S51" s="33"/>
      <c r="T51" s="2"/>
      <c r="V51" s="6" t="s">
        <v>2208</v>
      </c>
      <c r="W51" s="4" t="s">
        <v>486</v>
      </c>
      <c r="Y51" s="439" t="s">
        <v>413</v>
      </c>
      <c r="Z51" s="440">
        <v>0.15</v>
      </c>
      <c r="AA51" s="441" t="s">
        <v>399</v>
      </c>
      <c r="AB51" s="442" t="s">
        <v>487</v>
      </c>
      <c r="AC51" s="443" t="str">
        <f t="shared" si="0"/>
        <v>神奈川県鎌倉市</v>
      </c>
      <c r="AD51" s="464">
        <v>11.05</v>
      </c>
      <c r="AE51" s="442">
        <v>10.83</v>
      </c>
      <c r="AF51" s="443">
        <v>10.68</v>
      </c>
      <c r="AG51" s="478" t="s">
        <v>488</v>
      </c>
      <c r="AH51" s="440">
        <v>0.55000000000000004</v>
      </c>
      <c r="AJ51" s="1"/>
      <c r="AK51" s="1"/>
      <c r="AL51" s="1"/>
      <c r="AM51" s="1"/>
      <c r="AN51" s="1"/>
      <c r="AO51" s="2"/>
      <c r="AP51" s="2"/>
      <c r="AQ51" s="2"/>
      <c r="AR51" s="1069"/>
      <c r="AS51" s="1069"/>
      <c r="AT51" s="1069"/>
      <c r="AU51" s="1069"/>
      <c r="AV51" s="2"/>
      <c r="AX51" s="400"/>
      <c r="AY51" s="496"/>
      <c r="AZ51" s="277"/>
      <c r="BA51" s="277"/>
      <c r="BB51" s="277"/>
      <c r="BC51" s="277"/>
      <c r="BD51" s="504"/>
    </row>
    <row r="52" spans="1:56" ht="15" thickBot="1">
      <c r="A52" s="399"/>
      <c r="B52" s="400"/>
      <c r="C52" s="277"/>
      <c r="D52" s="277"/>
      <c r="E52" s="277"/>
      <c r="F52" s="277"/>
      <c r="G52" s="277"/>
      <c r="H52" s="277"/>
      <c r="I52" s="277"/>
      <c r="J52" s="277"/>
      <c r="K52" s="277"/>
      <c r="L52" s="277"/>
      <c r="M52" s="277"/>
      <c r="N52" s="277"/>
      <c r="O52" s="277"/>
      <c r="P52" s="33"/>
      <c r="Q52" s="33"/>
      <c r="R52" s="33"/>
      <c r="S52" s="33"/>
      <c r="T52" s="2"/>
      <c r="V52" s="6" t="s">
        <v>2208</v>
      </c>
      <c r="W52" s="4" t="s">
        <v>489</v>
      </c>
      <c r="Y52" s="439" t="s">
        <v>413</v>
      </c>
      <c r="Z52" s="440">
        <v>0.15</v>
      </c>
      <c r="AA52" s="441" t="s">
        <v>399</v>
      </c>
      <c r="AB52" s="442" t="s">
        <v>490</v>
      </c>
      <c r="AC52" s="443" t="str">
        <f t="shared" si="0"/>
        <v>神奈川県厚木市</v>
      </c>
      <c r="AD52" s="464">
        <v>11.05</v>
      </c>
      <c r="AE52" s="442">
        <v>10.83</v>
      </c>
      <c r="AF52" s="443">
        <v>10.68</v>
      </c>
      <c r="AG52" s="478" t="s">
        <v>491</v>
      </c>
      <c r="AH52" s="440">
        <v>0.7</v>
      </c>
      <c r="AJ52" s="1"/>
      <c r="AK52" s="1"/>
      <c r="AL52" s="1"/>
      <c r="AM52" s="1"/>
      <c r="AN52" s="1"/>
      <c r="AO52" s="2"/>
      <c r="AP52" s="2"/>
      <c r="AQ52" s="2"/>
      <c r="AR52" s="1070"/>
      <c r="AS52" s="1070"/>
      <c r="AT52" s="1070"/>
      <c r="AU52" s="1070"/>
      <c r="AV52" s="2"/>
      <c r="AX52" s="400"/>
      <c r="AY52" s="496"/>
      <c r="AZ52" s="277"/>
      <c r="BA52" s="277"/>
      <c r="BB52" s="277"/>
      <c r="BC52" s="277"/>
      <c r="BD52" s="504"/>
    </row>
    <row r="53" spans="1:56" ht="15" thickBot="1">
      <c r="A53" s="399"/>
      <c r="B53" s="400"/>
      <c r="C53" s="277"/>
      <c r="D53" s="277"/>
      <c r="E53" s="277"/>
      <c r="F53" s="277"/>
      <c r="G53" s="277"/>
      <c r="H53" s="277"/>
      <c r="I53" s="277"/>
      <c r="J53" s="277"/>
      <c r="K53" s="277"/>
      <c r="L53" s="277"/>
      <c r="M53" s="277"/>
      <c r="N53" s="277"/>
      <c r="O53" s="277"/>
      <c r="P53" s="33"/>
      <c r="Q53" s="33"/>
      <c r="R53" s="33"/>
      <c r="S53" s="33"/>
      <c r="T53" s="2"/>
      <c r="V53" s="6" t="s">
        <v>2208</v>
      </c>
      <c r="W53" s="4" t="s">
        <v>492</v>
      </c>
      <c r="Y53" s="439" t="s">
        <v>413</v>
      </c>
      <c r="Z53" s="440">
        <v>0.15</v>
      </c>
      <c r="AA53" s="441" t="s">
        <v>493</v>
      </c>
      <c r="AB53" s="442" t="s">
        <v>494</v>
      </c>
      <c r="AC53" s="443" t="str">
        <f t="shared" si="0"/>
        <v>愛知県名古屋市</v>
      </c>
      <c r="AD53" s="464">
        <v>11.05</v>
      </c>
      <c r="AE53" s="442">
        <v>10.83</v>
      </c>
      <c r="AF53" s="463">
        <v>10.68</v>
      </c>
      <c r="AG53" s="479" t="s">
        <v>495</v>
      </c>
      <c r="AH53" s="449">
        <v>0.7</v>
      </c>
      <c r="AJ53" s="1"/>
      <c r="AK53" s="1"/>
      <c r="AL53" s="1"/>
      <c r="AM53" s="1"/>
      <c r="AN53" s="1"/>
      <c r="AR53" s="1070"/>
      <c r="AS53" s="1070"/>
      <c r="AT53" s="1070"/>
      <c r="AU53" s="1070"/>
      <c r="AV53" s="2"/>
      <c r="AX53" s="394"/>
      <c r="AY53" s="400"/>
      <c r="AZ53" s="277"/>
      <c r="BA53" s="277"/>
      <c r="BB53" s="277"/>
      <c r="BC53" s="394"/>
      <c r="BD53" s="505"/>
    </row>
    <row r="54" spans="1:56" ht="15" thickBot="1">
      <c r="A54" s="400"/>
      <c r="B54" s="400"/>
      <c r="C54" s="277"/>
      <c r="D54" s="277"/>
      <c r="E54" s="277"/>
      <c r="F54" s="277"/>
      <c r="G54" s="277"/>
      <c r="H54" s="277"/>
      <c r="I54" s="277"/>
      <c r="J54" s="277"/>
      <c r="K54" s="277"/>
      <c r="L54" s="277"/>
      <c r="M54" s="277"/>
      <c r="N54" s="277"/>
      <c r="O54" s="277"/>
      <c r="P54" s="33"/>
      <c r="Q54" s="33"/>
      <c r="R54" s="33"/>
      <c r="S54" s="33"/>
      <c r="T54" s="2"/>
      <c r="V54" s="6" t="s">
        <v>2208</v>
      </c>
      <c r="W54" s="4" t="s">
        <v>496</v>
      </c>
      <c r="Y54" s="439" t="s">
        <v>413</v>
      </c>
      <c r="Z54" s="440">
        <v>0.15</v>
      </c>
      <c r="AA54" s="441" t="s">
        <v>493</v>
      </c>
      <c r="AB54" s="442" t="s">
        <v>497</v>
      </c>
      <c r="AC54" s="443" t="str">
        <f t="shared" si="0"/>
        <v>愛知県刈谷市</v>
      </c>
      <c r="AD54" s="464">
        <v>11.05</v>
      </c>
      <c r="AE54" s="442">
        <v>10.83</v>
      </c>
      <c r="AF54" s="463">
        <v>10.68</v>
      </c>
      <c r="AG54" s="419"/>
      <c r="AH54" s="419"/>
      <c r="AJ54" s="1"/>
      <c r="AK54" s="1"/>
      <c r="AL54" s="1"/>
      <c r="AM54" s="1"/>
      <c r="AN54" s="1"/>
      <c r="AX54" s="399"/>
      <c r="AY54" s="400"/>
      <c r="AZ54" s="277"/>
      <c r="BA54" s="277"/>
      <c r="BB54" s="277"/>
      <c r="BC54" s="394"/>
      <c r="BD54" s="505"/>
    </row>
    <row r="55" spans="1:56" ht="15" thickBot="1">
      <c r="A55" s="400"/>
      <c r="B55" s="400"/>
      <c r="C55" s="277"/>
      <c r="D55" s="277"/>
      <c r="E55" s="277"/>
      <c r="F55" s="277"/>
      <c r="G55" s="277"/>
      <c r="H55" s="277"/>
      <c r="I55" s="277"/>
      <c r="J55" s="277"/>
      <c r="K55" s="277"/>
      <c r="L55" s="277"/>
      <c r="M55" s="277"/>
      <c r="N55" s="277"/>
      <c r="O55" s="277"/>
      <c r="P55" s="33"/>
      <c r="Q55" s="33"/>
      <c r="R55" s="33"/>
      <c r="S55" s="33"/>
      <c r="T55"/>
      <c r="U55"/>
      <c r="V55" s="6" t="s">
        <v>2208</v>
      </c>
      <c r="W55" s="4" t="s">
        <v>498</v>
      </c>
      <c r="X55" s="2"/>
      <c r="Y55" s="439" t="s">
        <v>413</v>
      </c>
      <c r="Z55" s="440">
        <v>0.15</v>
      </c>
      <c r="AA55" s="441" t="s">
        <v>493</v>
      </c>
      <c r="AB55" s="442" t="s">
        <v>499</v>
      </c>
      <c r="AC55" s="443" t="str">
        <f t="shared" si="0"/>
        <v>愛知県豊田市</v>
      </c>
      <c r="AD55" s="464">
        <v>11.05</v>
      </c>
      <c r="AE55" s="442">
        <v>10.83</v>
      </c>
      <c r="AF55" s="463">
        <v>10.68</v>
      </c>
      <c r="AG55" s="421"/>
      <c r="AH55" s="421"/>
      <c r="AJ55" s="1"/>
      <c r="AK55" s="1"/>
      <c r="AL55" s="1"/>
      <c r="AM55" s="1"/>
      <c r="AN55" s="1"/>
      <c r="AO55"/>
      <c r="AP55"/>
      <c r="AW55"/>
      <c r="AX55" s="399"/>
      <c r="AY55" s="400"/>
      <c r="AZ55" s="277"/>
      <c r="BA55" s="277"/>
      <c r="BB55" s="277"/>
      <c r="BC55" s="394"/>
      <c r="BD55" s="505"/>
    </row>
    <row r="56" spans="1:56" ht="15" thickBot="1">
      <c r="A56" s="400"/>
      <c r="B56" s="400"/>
      <c r="C56" s="277"/>
      <c r="D56" s="277"/>
      <c r="E56" s="277"/>
      <c r="F56" s="277"/>
      <c r="G56" s="277"/>
      <c r="H56" s="277"/>
      <c r="I56" s="277"/>
      <c r="J56" s="277"/>
      <c r="K56" s="277"/>
      <c r="L56" s="277"/>
      <c r="M56" s="277"/>
      <c r="N56" s="277"/>
      <c r="O56" s="277"/>
      <c r="P56" s="33"/>
      <c r="Q56" s="33"/>
      <c r="R56" s="33"/>
      <c r="S56" s="33"/>
      <c r="T56"/>
      <c r="U56"/>
      <c r="V56" s="6" t="s">
        <v>2208</v>
      </c>
      <c r="W56" s="4" t="s">
        <v>500</v>
      </c>
      <c r="X56" s="2"/>
      <c r="Y56" s="439" t="s">
        <v>413</v>
      </c>
      <c r="Z56" s="440">
        <v>0.15</v>
      </c>
      <c r="AA56" s="441" t="s">
        <v>408</v>
      </c>
      <c r="AB56" s="442" t="s">
        <v>501</v>
      </c>
      <c r="AC56" s="443" t="str">
        <f t="shared" si="0"/>
        <v>大阪府守口市</v>
      </c>
      <c r="AD56" s="464">
        <v>11.05</v>
      </c>
      <c r="AE56" s="442">
        <v>10.83</v>
      </c>
      <c r="AF56" s="463">
        <v>10.68</v>
      </c>
      <c r="AG56" s="421"/>
      <c r="AH56" s="421"/>
      <c r="AJ56" s="1"/>
      <c r="AK56" s="1"/>
      <c r="AL56" s="1"/>
      <c r="AM56" s="1"/>
      <c r="AN56" s="1"/>
      <c r="AO56"/>
      <c r="AP56"/>
      <c r="AW56"/>
      <c r="AX56" s="400"/>
      <c r="AY56" s="400"/>
      <c r="AZ56" s="277"/>
      <c r="BA56" s="277"/>
      <c r="BB56" s="277"/>
      <c r="BC56" s="394"/>
      <c r="BD56" s="505"/>
    </row>
    <row r="57" spans="1:56" ht="15" thickBot="1">
      <c r="A57" s="400"/>
      <c r="B57" s="400"/>
      <c r="C57" s="277"/>
      <c r="D57" s="277"/>
      <c r="E57" s="277"/>
      <c r="F57" s="277"/>
      <c r="G57" s="277"/>
      <c r="H57" s="277"/>
      <c r="I57" s="277"/>
      <c r="J57" s="277"/>
      <c r="K57" s="277"/>
      <c r="L57" s="277"/>
      <c r="M57" s="277"/>
      <c r="N57" s="277"/>
      <c r="O57" s="277"/>
      <c r="P57" s="33"/>
      <c r="Q57" s="33"/>
      <c r="R57" s="33"/>
      <c r="S57" s="33"/>
      <c r="T57"/>
      <c r="U57"/>
      <c r="V57" s="6" t="s">
        <v>2208</v>
      </c>
      <c r="W57" s="4" t="s">
        <v>502</v>
      </c>
      <c r="X57" s="2"/>
      <c r="Y57" s="439" t="s">
        <v>413</v>
      </c>
      <c r="Z57" s="440">
        <v>0.15</v>
      </c>
      <c r="AA57" s="441" t="s">
        <v>408</v>
      </c>
      <c r="AB57" s="442" t="s">
        <v>503</v>
      </c>
      <c r="AC57" s="443" t="str">
        <f t="shared" si="0"/>
        <v>大阪府大東市</v>
      </c>
      <c r="AD57" s="464">
        <v>11.05</v>
      </c>
      <c r="AE57" s="442">
        <v>10.83</v>
      </c>
      <c r="AF57" s="463">
        <v>10.68</v>
      </c>
      <c r="AG57" s="421"/>
      <c r="AH57" s="421"/>
      <c r="AJ57" s="1"/>
      <c r="AK57" s="1"/>
      <c r="AL57" s="1"/>
      <c r="AM57" s="1"/>
      <c r="AN57" s="1"/>
      <c r="AX57" s="400"/>
      <c r="AY57" s="400"/>
      <c r="AZ57" s="277"/>
      <c r="BA57" s="277"/>
      <c r="BB57" s="277"/>
      <c r="BC57" s="394"/>
      <c r="BD57" s="505"/>
    </row>
    <row r="58" spans="1:56" ht="15" thickBot="1">
      <c r="A58"/>
      <c r="B58"/>
      <c r="C58"/>
      <c r="D58"/>
      <c r="E58"/>
      <c r="F58"/>
      <c r="G58"/>
      <c r="H58"/>
      <c r="I58"/>
      <c r="J58" s="277"/>
      <c r="K58"/>
      <c r="L58"/>
      <c r="M58"/>
      <c r="N58"/>
      <c r="O58"/>
      <c r="P58" s="33"/>
      <c r="Q58" s="33"/>
      <c r="R58" s="33"/>
      <c r="S58" s="33"/>
      <c r="V58" s="6" t="s">
        <v>2208</v>
      </c>
      <c r="W58" s="4" t="s">
        <v>504</v>
      </c>
      <c r="X58" s="2"/>
      <c r="Y58" s="439" t="s">
        <v>413</v>
      </c>
      <c r="Z58" s="440">
        <v>0.15</v>
      </c>
      <c r="AA58" s="441" t="s">
        <v>408</v>
      </c>
      <c r="AB58" s="442" t="s">
        <v>505</v>
      </c>
      <c r="AC58" s="443" t="str">
        <f t="shared" si="0"/>
        <v>大阪府門真市</v>
      </c>
      <c r="AD58" s="464">
        <v>11.05</v>
      </c>
      <c r="AE58" s="442">
        <v>10.83</v>
      </c>
      <c r="AF58" s="463">
        <v>10.68</v>
      </c>
      <c r="AG58" s="421"/>
      <c r="AH58" s="421"/>
      <c r="AJ58" s="1"/>
      <c r="AK58" s="1"/>
      <c r="AL58" s="1"/>
      <c r="AM58" s="1"/>
      <c r="AN58" s="1"/>
      <c r="AV58"/>
      <c r="AX58" s="400"/>
      <c r="AY58" s="400"/>
      <c r="AZ58" s="277"/>
      <c r="BA58" s="277"/>
      <c r="BB58" s="277"/>
      <c r="BC58" s="394"/>
      <c r="BD58" s="505"/>
    </row>
    <row r="59" spans="1:56" ht="15" thickBot="1">
      <c r="A59"/>
      <c r="C59"/>
      <c r="D59"/>
      <c r="E59"/>
      <c r="F59"/>
      <c r="G59"/>
      <c r="H59"/>
      <c r="I59"/>
      <c r="J59"/>
      <c r="K59"/>
      <c r="L59"/>
      <c r="M59"/>
      <c r="N59"/>
      <c r="O59"/>
      <c r="P59" s="33"/>
      <c r="Q59" s="33"/>
      <c r="R59" s="33"/>
      <c r="S59" s="33"/>
      <c r="V59" s="6" t="s">
        <v>2208</v>
      </c>
      <c r="W59" s="4" t="s">
        <v>506</v>
      </c>
      <c r="X59" s="2"/>
      <c r="Y59" s="439" t="s">
        <v>413</v>
      </c>
      <c r="Z59" s="440">
        <v>0.15</v>
      </c>
      <c r="AA59" s="441" t="s">
        <v>507</v>
      </c>
      <c r="AB59" s="442" t="s">
        <v>508</v>
      </c>
      <c r="AC59" s="443" t="str">
        <f t="shared" si="0"/>
        <v>兵庫県西宮市</v>
      </c>
      <c r="AD59" s="464">
        <v>11.05</v>
      </c>
      <c r="AE59" s="442">
        <v>10.83</v>
      </c>
      <c r="AF59" s="463">
        <v>10.68</v>
      </c>
      <c r="AG59" s="421"/>
      <c r="AH59" s="421"/>
      <c r="AJ59" s="1"/>
      <c r="AK59" s="1"/>
      <c r="AL59" s="1"/>
      <c r="AM59" s="1"/>
      <c r="AN59" s="1"/>
      <c r="AV59"/>
      <c r="AX59" s="400"/>
      <c r="AY59" s="400"/>
      <c r="AZ59" s="277"/>
      <c r="BA59" s="277"/>
      <c r="BB59" s="277"/>
      <c r="BC59" s="394"/>
      <c r="BD59" s="505"/>
    </row>
    <row r="60" spans="1:56" ht="15" thickBot="1">
      <c r="A60"/>
      <c r="C60"/>
      <c r="D60"/>
      <c r="E60"/>
      <c r="F60"/>
      <c r="G60"/>
      <c r="H60"/>
      <c r="I60"/>
      <c r="J60"/>
      <c r="K60"/>
      <c r="L60"/>
      <c r="M60"/>
      <c r="N60"/>
      <c r="O60"/>
      <c r="P60" s="33"/>
      <c r="Q60" s="33"/>
      <c r="R60" s="33"/>
      <c r="S60" s="33"/>
      <c r="V60" s="6" t="s">
        <v>2208</v>
      </c>
      <c r="W60" s="4" t="s">
        <v>509</v>
      </c>
      <c r="X60" s="2"/>
      <c r="Y60" s="439" t="s">
        <v>413</v>
      </c>
      <c r="Z60" s="440">
        <v>0.15</v>
      </c>
      <c r="AA60" s="441" t="s">
        <v>507</v>
      </c>
      <c r="AB60" s="442" t="s">
        <v>510</v>
      </c>
      <c r="AC60" s="443" t="str">
        <f t="shared" si="0"/>
        <v>兵庫県芦屋市</v>
      </c>
      <c r="AD60" s="464">
        <v>11.05</v>
      </c>
      <c r="AE60" s="442">
        <v>10.83</v>
      </c>
      <c r="AF60" s="463">
        <v>10.68</v>
      </c>
      <c r="AG60" s="421"/>
      <c r="AH60" s="421"/>
      <c r="AJ60" s="1"/>
      <c r="AK60" s="1"/>
      <c r="AL60" s="1"/>
      <c r="AM60" s="1"/>
      <c r="AN60" s="1"/>
    </row>
    <row r="61" spans="1:56" ht="15" thickBot="1">
      <c r="E61" s="31"/>
      <c r="F61" s="31"/>
      <c r="G61" s="31"/>
      <c r="H61" s="31"/>
      <c r="I61" s="31"/>
      <c r="J61"/>
      <c r="K61" s="31"/>
      <c r="L61" s="31"/>
      <c r="M61" s="31"/>
      <c r="V61" s="6" t="s">
        <v>2208</v>
      </c>
      <c r="W61" s="4" t="s">
        <v>511</v>
      </c>
      <c r="X61" s="2"/>
      <c r="Y61" s="448" t="s">
        <v>413</v>
      </c>
      <c r="Z61" s="449">
        <v>0.15</v>
      </c>
      <c r="AA61" s="450" t="s">
        <v>507</v>
      </c>
      <c r="AB61" s="451" t="s">
        <v>512</v>
      </c>
      <c r="AC61" s="452" t="str">
        <f t="shared" si="0"/>
        <v>兵庫県宝塚市</v>
      </c>
      <c r="AD61" s="470">
        <v>11.05</v>
      </c>
      <c r="AE61" s="451">
        <v>10.83</v>
      </c>
      <c r="AF61" s="471">
        <v>10.68</v>
      </c>
      <c r="AG61" s="421"/>
      <c r="AH61" s="421"/>
      <c r="AJ61" s="1"/>
      <c r="AK61" s="1"/>
      <c r="AL61" s="1"/>
      <c r="AM61" s="1"/>
      <c r="AN61" s="1"/>
      <c r="AZ61" s="1"/>
    </row>
    <row r="62" spans="1:56" ht="15" thickBot="1">
      <c r="E62" s="31"/>
      <c r="F62" s="31"/>
      <c r="G62" s="31"/>
      <c r="H62" s="31"/>
      <c r="I62" s="31"/>
      <c r="J62" s="31"/>
      <c r="K62" s="31"/>
      <c r="L62" s="31"/>
      <c r="M62" s="31"/>
      <c r="V62" s="6" t="s">
        <v>2208</v>
      </c>
      <c r="W62" s="4" t="s">
        <v>513</v>
      </c>
      <c r="X62" s="2"/>
      <c r="Y62" s="431" t="s">
        <v>514</v>
      </c>
      <c r="Z62" s="432">
        <v>0.12</v>
      </c>
      <c r="AA62" s="480" t="s">
        <v>313</v>
      </c>
      <c r="AB62" s="434" t="s">
        <v>515</v>
      </c>
      <c r="AC62" s="462" t="str">
        <f t="shared" si="0"/>
        <v>茨城県牛久市</v>
      </c>
      <c r="AD62" s="461">
        <v>10.84</v>
      </c>
      <c r="AE62" s="434">
        <v>10.66</v>
      </c>
      <c r="AF62" s="462">
        <v>10.54</v>
      </c>
      <c r="AG62" s="421"/>
      <c r="AH62" s="421"/>
      <c r="AJ62" s="1"/>
      <c r="AK62" s="1"/>
      <c r="AL62" s="1"/>
      <c r="AM62" s="1"/>
      <c r="AN62" s="1"/>
      <c r="AZ62" s="1"/>
    </row>
    <row r="63" spans="1:56" ht="15" thickBot="1">
      <c r="E63" s="31"/>
      <c r="F63" s="31"/>
      <c r="G63" s="31"/>
      <c r="H63" s="31"/>
      <c r="I63" s="31"/>
      <c r="J63" s="31"/>
      <c r="K63" s="31"/>
      <c r="L63" s="31"/>
      <c r="M63" s="31"/>
      <c r="V63" s="6" t="s">
        <v>2208</v>
      </c>
      <c r="W63" s="4" t="s">
        <v>516</v>
      </c>
      <c r="X63" s="2"/>
      <c r="Y63" s="439" t="s">
        <v>514</v>
      </c>
      <c r="Z63" s="440">
        <v>0.12</v>
      </c>
      <c r="AA63" s="481" t="s">
        <v>326</v>
      </c>
      <c r="AB63" s="442" t="s">
        <v>517</v>
      </c>
      <c r="AC63" s="463" t="str">
        <f t="shared" si="0"/>
        <v>埼玉県朝霞市</v>
      </c>
      <c r="AD63" s="464">
        <v>10.84</v>
      </c>
      <c r="AE63" s="442">
        <v>10.66</v>
      </c>
      <c r="AF63" s="463">
        <v>10.54</v>
      </c>
      <c r="AG63" s="421"/>
      <c r="AH63" s="421"/>
      <c r="AJ63" s="1"/>
      <c r="AK63" s="1"/>
      <c r="AL63" s="1"/>
      <c r="AM63" s="1"/>
      <c r="AN63" s="1"/>
      <c r="AZ63" s="1"/>
    </row>
    <row r="64" spans="1:56" ht="15" thickBot="1">
      <c r="E64" s="31"/>
      <c r="F64" s="31"/>
      <c r="G64" s="31"/>
      <c r="H64" s="31"/>
      <c r="I64" s="31"/>
      <c r="J64" s="31"/>
      <c r="K64" s="31"/>
      <c r="L64" s="31"/>
      <c r="M64" s="31"/>
      <c r="V64" s="6" t="s">
        <v>2208</v>
      </c>
      <c r="W64" s="4" t="s">
        <v>518</v>
      </c>
      <c r="X64" s="2"/>
      <c r="Y64" s="439" t="s">
        <v>514</v>
      </c>
      <c r="Z64" s="440">
        <v>0.12</v>
      </c>
      <c r="AA64" s="481" t="s">
        <v>326</v>
      </c>
      <c r="AB64" s="442" t="s">
        <v>519</v>
      </c>
      <c r="AC64" s="463" t="str">
        <f t="shared" si="0"/>
        <v>埼玉県志木市</v>
      </c>
      <c r="AD64" s="464">
        <v>10.84</v>
      </c>
      <c r="AE64" s="442">
        <v>10.66</v>
      </c>
      <c r="AF64" s="463">
        <v>10.54</v>
      </c>
      <c r="AG64" s="421"/>
      <c r="AH64" s="421"/>
      <c r="AJ64" s="1"/>
      <c r="AK64" s="1"/>
      <c r="AL64" s="1"/>
      <c r="AM64" s="1"/>
      <c r="AN64" s="1"/>
      <c r="AZ64" s="1"/>
    </row>
    <row r="65" spans="22:34" ht="14.25" thickBot="1">
      <c r="V65" s="6" t="s">
        <v>2208</v>
      </c>
      <c r="W65" s="4" t="s">
        <v>520</v>
      </c>
      <c r="X65" s="2"/>
      <c r="Y65" s="439" t="s">
        <v>514</v>
      </c>
      <c r="Z65" s="440">
        <v>0.12</v>
      </c>
      <c r="AA65" s="481" t="s">
        <v>326</v>
      </c>
      <c r="AB65" s="442" t="s">
        <v>521</v>
      </c>
      <c r="AC65" s="463" t="str">
        <f t="shared" si="0"/>
        <v>埼玉県和光市</v>
      </c>
      <c r="AD65" s="464">
        <v>10.84</v>
      </c>
      <c r="AE65" s="442">
        <v>10.66</v>
      </c>
      <c r="AF65" s="463">
        <v>10.54</v>
      </c>
      <c r="AG65" s="421"/>
      <c r="AH65" s="421"/>
    </row>
    <row r="66" spans="22:34" ht="14.25" thickBot="1">
      <c r="V66" s="6" t="s">
        <v>2208</v>
      </c>
      <c r="W66" s="4" t="s">
        <v>522</v>
      </c>
      <c r="X66" s="2"/>
      <c r="Y66" s="439" t="s">
        <v>514</v>
      </c>
      <c r="Z66" s="440">
        <v>0.12</v>
      </c>
      <c r="AA66" s="481" t="s">
        <v>331</v>
      </c>
      <c r="AB66" s="442" t="s">
        <v>523</v>
      </c>
      <c r="AC66" s="463" t="str">
        <f t="shared" si="0"/>
        <v>千葉県船橋市</v>
      </c>
      <c r="AD66" s="464">
        <v>10.84</v>
      </c>
      <c r="AE66" s="442">
        <v>10.66</v>
      </c>
      <c r="AF66" s="463">
        <v>10.54</v>
      </c>
      <c r="AG66" s="421"/>
      <c r="AH66" s="421"/>
    </row>
    <row r="67" spans="22:34" ht="14.25" thickBot="1">
      <c r="V67" s="6" t="s">
        <v>2208</v>
      </c>
      <c r="W67" s="4" t="s">
        <v>524</v>
      </c>
      <c r="X67" s="2"/>
      <c r="Y67" s="439" t="s">
        <v>514</v>
      </c>
      <c r="Z67" s="440">
        <v>0.12</v>
      </c>
      <c r="AA67" s="481" t="s">
        <v>331</v>
      </c>
      <c r="AB67" s="442" t="s">
        <v>525</v>
      </c>
      <c r="AC67" s="463" t="str">
        <f t="shared" si="0"/>
        <v>千葉県成田市</v>
      </c>
      <c r="AD67" s="464">
        <v>10.84</v>
      </c>
      <c r="AE67" s="442">
        <v>10.66</v>
      </c>
      <c r="AF67" s="463">
        <v>10.54</v>
      </c>
      <c r="AG67" s="421"/>
      <c r="AH67" s="421"/>
    </row>
    <row r="68" spans="22:34" ht="14.25" thickBot="1">
      <c r="V68" s="6" t="s">
        <v>2208</v>
      </c>
      <c r="W68" s="4" t="s">
        <v>526</v>
      </c>
      <c r="X68" s="2"/>
      <c r="Y68" s="439" t="s">
        <v>514</v>
      </c>
      <c r="Z68" s="440">
        <v>0.12</v>
      </c>
      <c r="AA68" s="481" t="s">
        <v>331</v>
      </c>
      <c r="AB68" s="442" t="s">
        <v>527</v>
      </c>
      <c r="AC68" s="463" t="str">
        <f t="shared" ref="AC68:AC131" si="1">AA68&amp;AB68</f>
        <v>千葉県習志野市</v>
      </c>
      <c r="AD68" s="464">
        <v>10.84</v>
      </c>
      <c r="AE68" s="442">
        <v>10.66</v>
      </c>
      <c r="AF68" s="463">
        <v>10.54</v>
      </c>
      <c r="AG68" s="421"/>
      <c r="AH68" s="421"/>
    </row>
    <row r="69" spans="22:34" ht="14.25" thickBot="1">
      <c r="V69" s="6" t="s">
        <v>2208</v>
      </c>
      <c r="W69" s="4" t="s">
        <v>528</v>
      </c>
      <c r="X69" s="2"/>
      <c r="Y69" s="439" t="s">
        <v>514</v>
      </c>
      <c r="Z69" s="440">
        <v>0.12</v>
      </c>
      <c r="AA69" s="481" t="s">
        <v>4</v>
      </c>
      <c r="AB69" s="442" t="s">
        <v>529</v>
      </c>
      <c r="AC69" s="463" t="str">
        <f t="shared" si="1"/>
        <v>東京都立川市</v>
      </c>
      <c r="AD69" s="464">
        <v>10.84</v>
      </c>
      <c r="AE69" s="442">
        <v>10.66</v>
      </c>
      <c r="AF69" s="463">
        <v>10.54</v>
      </c>
      <c r="AG69" s="421"/>
      <c r="AH69" s="421"/>
    </row>
    <row r="70" spans="22:34" ht="14.25" thickBot="1">
      <c r="V70" s="6" t="s">
        <v>2208</v>
      </c>
      <c r="W70" s="4" t="s">
        <v>530</v>
      </c>
      <c r="X70" s="2"/>
      <c r="Y70" s="439" t="s">
        <v>514</v>
      </c>
      <c r="Z70" s="440">
        <v>0.12</v>
      </c>
      <c r="AA70" s="481" t="s">
        <v>4</v>
      </c>
      <c r="AB70" s="442" t="s">
        <v>531</v>
      </c>
      <c r="AC70" s="463" t="str">
        <f t="shared" si="1"/>
        <v>東京都昭島市</v>
      </c>
      <c r="AD70" s="464">
        <v>10.84</v>
      </c>
      <c r="AE70" s="442">
        <v>10.66</v>
      </c>
      <c r="AF70" s="463">
        <v>10.54</v>
      </c>
      <c r="AG70" s="421"/>
      <c r="AH70" s="421"/>
    </row>
    <row r="71" spans="22:34" ht="14.25" thickBot="1">
      <c r="V71" s="6" t="s">
        <v>2208</v>
      </c>
      <c r="W71" s="4" t="s">
        <v>532</v>
      </c>
      <c r="X71" s="2"/>
      <c r="Y71" s="439" t="s">
        <v>514</v>
      </c>
      <c r="Z71" s="440">
        <v>0.12</v>
      </c>
      <c r="AA71" s="481" t="s">
        <v>4</v>
      </c>
      <c r="AB71" s="442" t="s">
        <v>533</v>
      </c>
      <c r="AC71" s="463" t="str">
        <f t="shared" si="1"/>
        <v>東京都東大和市</v>
      </c>
      <c r="AD71" s="464">
        <v>10.84</v>
      </c>
      <c r="AE71" s="442">
        <v>10.66</v>
      </c>
      <c r="AF71" s="463">
        <v>10.54</v>
      </c>
      <c r="AG71" s="421"/>
      <c r="AH71" s="421"/>
    </row>
    <row r="72" spans="22:34" ht="14.25" thickBot="1">
      <c r="V72" s="6" t="s">
        <v>2208</v>
      </c>
      <c r="W72" s="4" t="s">
        <v>534</v>
      </c>
      <c r="X72" s="2"/>
      <c r="Y72" s="439" t="s">
        <v>514</v>
      </c>
      <c r="Z72" s="440">
        <v>0.12</v>
      </c>
      <c r="AA72" s="481" t="s">
        <v>338</v>
      </c>
      <c r="AB72" s="442" t="s">
        <v>535</v>
      </c>
      <c r="AC72" s="463" t="str">
        <f t="shared" si="1"/>
        <v>神奈川県相模原市</v>
      </c>
      <c r="AD72" s="464">
        <v>10.84</v>
      </c>
      <c r="AE72" s="442">
        <v>10.66</v>
      </c>
      <c r="AF72" s="463">
        <v>10.54</v>
      </c>
      <c r="AG72" s="421"/>
      <c r="AH72" s="421"/>
    </row>
    <row r="73" spans="22:34" ht="14.25" thickBot="1">
      <c r="V73" s="6" t="s">
        <v>2208</v>
      </c>
      <c r="W73" s="4" t="s">
        <v>536</v>
      </c>
      <c r="X73" s="2"/>
      <c r="Y73" s="439" t="s">
        <v>514</v>
      </c>
      <c r="Z73" s="440">
        <v>0.12</v>
      </c>
      <c r="AA73" s="481" t="s">
        <v>338</v>
      </c>
      <c r="AB73" s="442" t="s">
        <v>537</v>
      </c>
      <c r="AC73" s="463" t="str">
        <f t="shared" si="1"/>
        <v>神奈川県横須賀市</v>
      </c>
      <c r="AD73" s="464">
        <v>10.84</v>
      </c>
      <c r="AE73" s="442">
        <v>10.66</v>
      </c>
      <c r="AF73" s="463">
        <v>10.54</v>
      </c>
      <c r="AG73" s="421"/>
      <c r="AH73" s="421"/>
    </row>
    <row r="74" spans="22:34" ht="14.25" thickBot="1">
      <c r="V74" s="6" t="s">
        <v>2208</v>
      </c>
      <c r="W74" s="4" t="s">
        <v>538</v>
      </c>
      <c r="X74" s="2"/>
      <c r="Y74" s="439" t="s">
        <v>514</v>
      </c>
      <c r="Z74" s="440">
        <v>0.12</v>
      </c>
      <c r="AA74" s="481" t="s">
        <v>338</v>
      </c>
      <c r="AB74" s="442" t="s">
        <v>539</v>
      </c>
      <c r="AC74" s="463" t="str">
        <f t="shared" si="1"/>
        <v>神奈川県藤沢市</v>
      </c>
      <c r="AD74" s="464">
        <v>10.84</v>
      </c>
      <c r="AE74" s="442">
        <v>10.66</v>
      </c>
      <c r="AF74" s="463">
        <v>10.54</v>
      </c>
      <c r="AG74" s="421"/>
      <c r="AH74" s="421"/>
    </row>
    <row r="75" spans="22:34" ht="14.25" thickBot="1">
      <c r="V75" s="6" t="s">
        <v>2208</v>
      </c>
      <c r="W75" s="4" t="s">
        <v>540</v>
      </c>
      <c r="X75" s="2"/>
      <c r="Y75" s="439" t="s">
        <v>514</v>
      </c>
      <c r="Z75" s="440">
        <v>0.12</v>
      </c>
      <c r="AA75" s="481" t="s">
        <v>338</v>
      </c>
      <c r="AB75" s="442" t="s">
        <v>541</v>
      </c>
      <c r="AC75" s="463" t="str">
        <f t="shared" si="1"/>
        <v>神奈川県逗子市</v>
      </c>
      <c r="AD75" s="464">
        <v>10.84</v>
      </c>
      <c r="AE75" s="442">
        <v>10.66</v>
      </c>
      <c r="AF75" s="463">
        <v>10.54</v>
      </c>
      <c r="AG75" s="421"/>
      <c r="AH75" s="421"/>
    </row>
    <row r="76" spans="22:34" ht="14.25" thickBot="1">
      <c r="V76" s="6" t="s">
        <v>2208</v>
      </c>
      <c r="W76" s="4" t="s">
        <v>542</v>
      </c>
      <c r="X76" s="2"/>
      <c r="Y76" s="439" t="s">
        <v>514</v>
      </c>
      <c r="Z76" s="440">
        <v>0.12</v>
      </c>
      <c r="AA76" s="481" t="s">
        <v>338</v>
      </c>
      <c r="AB76" s="442" t="s">
        <v>543</v>
      </c>
      <c r="AC76" s="463" t="str">
        <f t="shared" si="1"/>
        <v>神奈川県三浦市</v>
      </c>
      <c r="AD76" s="464">
        <v>10.84</v>
      </c>
      <c r="AE76" s="442">
        <v>10.66</v>
      </c>
      <c r="AF76" s="463">
        <v>10.54</v>
      </c>
      <c r="AG76" s="421"/>
      <c r="AH76" s="421"/>
    </row>
    <row r="77" spans="22:34" ht="14.25" thickBot="1">
      <c r="V77" s="6" t="s">
        <v>2208</v>
      </c>
      <c r="W77" s="4" t="s">
        <v>544</v>
      </c>
      <c r="X77" s="2"/>
      <c r="Y77" s="439" t="s">
        <v>514</v>
      </c>
      <c r="Z77" s="440">
        <v>0.12</v>
      </c>
      <c r="AA77" s="481" t="s">
        <v>338</v>
      </c>
      <c r="AB77" s="442" t="s">
        <v>545</v>
      </c>
      <c r="AC77" s="463" t="str">
        <f t="shared" si="1"/>
        <v>神奈川県海老名市</v>
      </c>
      <c r="AD77" s="464">
        <v>10.84</v>
      </c>
      <c r="AE77" s="442">
        <v>10.66</v>
      </c>
      <c r="AF77" s="463">
        <v>10.54</v>
      </c>
      <c r="AG77" s="421"/>
      <c r="AH77" s="421"/>
    </row>
    <row r="78" spans="22:34" ht="14.25" thickBot="1">
      <c r="V78" s="6" t="s">
        <v>2208</v>
      </c>
      <c r="W78" s="4" t="s">
        <v>546</v>
      </c>
      <c r="X78" s="2"/>
      <c r="Y78" s="439" t="s">
        <v>514</v>
      </c>
      <c r="Z78" s="440">
        <v>0.12</v>
      </c>
      <c r="AA78" s="481" t="s">
        <v>393</v>
      </c>
      <c r="AB78" s="442" t="s">
        <v>547</v>
      </c>
      <c r="AC78" s="463" t="str">
        <f t="shared" si="1"/>
        <v>大阪府豊中市</v>
      </c>
      <c r="AD78" s="464">
        <v>10.84</v>
      </c>
      <c r="AE78" s="442">
        <v>10.66</v>
      </c>
      <c r="AF78" s="463">
        <v>10.54</v>
      </c>
      <c r="AG78" s="421"/>
      <c r="AH78" s="421"/>
    </row>
    <row r="79" spans="22:34" ht="14.25" thickBot="1">
      <c r="V79" s="6" t="s">
        <v>2208</v>
      </c>
      <c r="W79" s="4" t="s">
        <v>548</v>
      </c>
      <c r="X79" s="2"/>
      <c r="Y79" s="439" t="s">
        <v>514</v>
      </c>
      <c r="Z79" s="440">
        <v>0.12</v>
      </c>
      <c r="AA79" s="481" t="s">
        <v>393</v>
      </c>
      <c r="AB79" s="442" t="s">
        <v>549</v>
      </c>
      <c r="AC79" s="463" t="str">
        <f t="shared" si="1"/>
        <v>大阪府池田市</v>
      </c>
      <c r="AD79" s="464">
        <v>10.84</v>
      </c>
      <c r="AE79" s="442">
        <v>10.66</v>
      </c>
      <c r="AF79" s="463">
        <v>10.54</v>
      </c>
      <c r="AG79" s="421"/>
      <c r="AH79" s="421"/>
    </row>
    <row r="80" spans="22:34" ht="14.25" thickBot="1">
      <c r="V80" s="6" t="s">
        <v>2208</v>
      </c>
      <c r="W80" s="4" t="s">
        <v>550</v>
      </c>
      <c r="X80" s="2"/>
      <c r="Y80" s="439" t="s">
        <v>514</v>
      </c>
      <c r="Z80" s="440">
        <v>0.12</v>
      </c>
      <c r="AA80" s="481" t="s">
        <v>393</v>
      </c>
      <c r="AB80" s="442" t="s">
        <v>551</v>
      </c>
      <c r="AC80" s="463" t="str">
        <f t="shared" si="1"/>
        <v>大阪府吹田市</v>
      </c>
      <c r="AD80" s="464">
        <v>10.84</v>
      </c>
      <c r="AE80" s="442">
        <v>10.66</v>
      </c>
      <c r="AF80" s="463">
        <v>10.54</v>
      </c>
      <c r="AG80" s="421"/>
      <c r="AH80" s="421"/>
    </row>
    <row r="81" spans="22:34" ht="14.25" thickBot="1">
      <c r="V81" s="6" t="s">
        <v>2208</v>
      </c>
      <c r="W81" s="4" t="s">
        <v>552</v>
      </c>
      <c r="X81" s="2"/>
      <c r="Y81" s="439" t="s">
        <v>514</v>
      </c>
      <c r="Z81" s="440">
        <v>0.12</v>
      </c>
      <c r="AA81" s="481" t="s">
        <v>393</v>
      </c>
      <c r="AB81" s="442" t="s">
        <v>553</v>
      </c>
      <c r="AC81" s="463" t="str">
        <f t="shared" si="1"/>
        <v>大阪府高槻市</v>
      </c>
      <c r="AD81" s="464">
        <v>10.84</v>
      </c>
      <c r="AE81" s="442">
        <v>10.66</v>
      </c>
      <c r="AF81" s="463">
        <v>10.54</v>
      </c>
      <c r="AG81" s="421"/>
      <c r="AH81" s="421"/>
    </row>
    <row r="82" spans="22:34" ht="14.25" thickBot="1">
      <c r="V82" s="6" t="s">
        <v>2208</v>
      </c>
      <c r="W82" s="4" t="s">
        <v>554</v>
      </c>
      <c r="X82" s="2"/>
      <c r="Y82" s="439" t="s">
        <v>514</v>
      </c>
      <c r="Z82" s="440">
        <v>0.12</v>
      </c>
      <c r="AA82" s="481" t="s">
        <v>393</v>
      </c>
      <c r="AB82" s="442" t="s">
        <v>555</v>
      </c>
      <c r="AC82" s="463" t="str">
        <f t="shared" si="1"/>
        <v>大阪府寝屋川市</v>
      </c>
      <c r="AD82" s="464">
        <v>10.84</v>
      </c>
      <c r="AE82" s="442">
        <v>10.66</v>
      </c>
      <c r="AF82" s="463">
        <v>10.54</v>
      </c>
      <c r="AG82" s="421"/>
      <c r="AH82" s="421"/>
    </row>
    <row r="83" spans="22:34" ht="14.25" thickBot="1">
      <c r="V83" s="6" t="s">
        <v>2208</v>
      </c>
      <c r="W83" s="4" t="s">
        <v>556</v>
      </c>
      <c r="X83" s="2"/>
      <c r="Y83" s="439" t="s">
        <v>514</v>
      </c>
      <c r="Z83" s="440">
        <v>0.12</v>
      </c>
      <c r="AA83" s="481" t="s">
        <v>393</v>
      </c>
      <c r="AB83" s="442" t="s">
        <v>557</v>
      </c>
      <c r="AC83" s="463" t="str">
        <f t="shared" si="1"/>
        <v>大阪府箕面市</v>
      </c>
      <c r="AD83" s="464">
        <v>10.84</v>
      </c>
      <c r="AE83" s="442">
        <v>10.66</v>
      </c>
      <c r="AF83" s="463">
        <v>10.54</v>
      </c>
      <c r="AG83" s="421"/>
      <c r="AH83" s="421"/>
    </row>
    <row r="84" spans="22:34" ht="14.25" thickBot="1">
      <c r="V84" s="6" t="s">
        <v>2208</v>
      </c>
      <c r="W84" s="4" t="s">
        <v>558</v>
      </c>
      <c r="X84" s="2"/>
      <c r="Y84" s="439" t="s">
        <v>514</v>
      </c>
      <c r="Z84" s="440">
        <v>0.12</v>
      </c>
      <c r="AA84" s="481" t="s">
        <v>393</v>
      </c>
      <c r="AB84" s="442" t="s">
        <v>559</v>
      </c>
      <c r="AC84" s="463" t="str">
        <f t="shared" si="1"/>
        <v>大阪府四條畷市</v>
      </c>
      <c r="AD84" s="464">
        <v>10.84</v>
      </c>
      <c r="AE84" s="442">
        <v>10.66</v>
      </c>
      <c r="AF84" s="463">
        <v>10.54</v>
      </c>
      <c r="AG84" s="421"/>
      <c r="AH84" s="421"/>
    </row>
    <row r="85" spans="22:34" ht="14.25" thickBot="1">
      <c r="V85" s="6" t="s">
        <v>2208</v>
      </c>
      <c r="W85" s="4" t="s">
        <v>560</v>
      </c>
      <c r="X85" s="2"/>
      <c r="Y85" s="448" t="s">
        <v>514</v>
      </c>
      <c r="Z85" s="449">
        <v>0.12</v>
      </c>
      <c r="AA85" s="482" t="s">
        <v>397</v>
      </c>
      <c r="AB85" s="451" t="s">
        <v>561</v>
      </c>
      <c r="AC85" s="471" t="str">
        <f t="shared" si="1"/>
        <v>兵庫県神戸市</v>
      </c>
      <c r="AD85" s="470">
        <v>10.84</v>
      </c>
      <c r="AE85" s="451">
        <v>10.66</v>
      </c>
      <c r="AF85" s="471">
        <v>10.54</v>
      </c>
      <c r="AG85" s="421"/>
      <c r="AH85" s="421"/>
    </row>
    <row r="86" spans="22:34" ht="14.25" thickBot="1">
      <c r="V86" s="6" t="s">
        <v>2208</v>
      </c>
      <c r="W86" s="4" t="s">
        <v>562</v>
      </c>
      <c r="X86" s="2"/>
      <c r="Y86" s="431" t="s">
        <v>563</v>
      </c>
      <c r="Z86" s="432">
        <v>0.1</v>
      </c>
      <c r="AA86" s="480" t="s">
        <v>313</v>
      </c>
      <c r="AB86" s="434" t="s">
        <v>564</v>
      </c>
      <c r="AC86" s="435" t="str">
        <f t="shared" si="1"/>
        <v>茨城県水戸市</v>
      </c>
      <c r="AD86" s="483">
        <v>10.7</v>
      </c>
      <c r="AE86" s="459">
        <v>10.55</v>
      </c>
      <c r="AF86" s="460">
        <v>10.45</v>
      </c>
      <c r="AG86" s="421"/>
      <c r="AH86" s="421"/>
    </row>
    <row r="87" spans="22:34" ht="14.25" thickBot="1">
      <c r="V87" s="6" t="s">
        <v>2208</v>
      </c>
      <c r="W87" s="4" t="s">
        <v>565</v>
      </c>
      <c r="X87" s="2"/>
      <c r="Y87" s="439" t="s">
        <v>563</v>
      </c>
      <c r="Z87" s="440">
        <v>0.1</v>
      </c>
      <c r="AA87" s="481" t="s">
        <v>313</v>
      </c>
      <c r="AB87" s="442" t="s">
        <v>566</v>
      </c>
      <c r="AC87" s="443" t="str">
        <f t="shared" si="1"/>
        <v>茨城県日立市</v>
      </c>
      <c r="AD87" s="464">
        <v>10.7</v>
      </c>
      <c r="AE87" s="442">
        <v>10.55</v>
      </c>
      <c r="AF87" s="463">
        <v>10.45</v>
      </c>
      <c r="AG87" s="421"/>
      <c r="AH87" s="421"/>
    </row>
    <row r="88" spans="22:34" ht="14.25" thickBot="1">
      <c r="V88" s="6" t="s">
        <v>2208</v>
      </c>
      <c r="W88" s="4" t="s">
        <v>567</v>
      </c>
      <c r="X88" s="2"/>
      <c r="Y88" s="439" t="s">
        <v>563</v>
      </c>
      <c r="Z88" s="440">
        <v>0.1</v>
      </c>
      <c r="AA88" s="481" t="s">
        <v>313</v>
      </c>
      <c r="AB88" s="442" t="s">
        <v>568</v>
      </c>
      <c r="AC88" s="443" t="str">
        <f t="shared" si="1"/>
        <v>茨城県龍ケ崎市</v>
      </c>
      <c r="AD88" s="464">
        <v>10.7</v>
      </c>
      <c r="AE88" s="442">
        <v>10.55</v>
      </c>
      <c r="AF88" s="463">
        <v>10.45</v>
      </c>
      <c r="AG88" s="421"/>
      <c r="AH88" s="421"/>
    </row>
    <row r="89" spans="22:34" ht="14.25" thickBot="1">
      <c r="V89" s="6" t="s">
        <v>2208</v>
      </c>
      <c r="W89" s="4" t="s">
        <v>569</v>
      </c>
      <c r="X89" s="2"/>
      <c r="Y89" s="439" t="s">
        <v>563</v>
      </c>
      <c r="Z89" s="440">
        <v>0.1</v>
      </c>
      <c r="AA89" s="481" t="s">
        <v>313</v>
      </c>
      <c r="AB89" s="442" t="s">
        <v>570</v>
      </c>
      <c r="AC89" s="443" t="str">
        <f t="shared" si="1"/>
        <v>茨城県取手市</v>
      </c>
      <c r="AD89" s="464">
        <v>10.7</v>
      </c>
      <c r="AE89" s="442">
        <v>10.55</v>
      </c>
      <c r="AF89" s="463">
        <v>10.45</v>
      </c>
      <c r="AG89" s="421"/>
      <c r="AH89" s="421"/>
    </row>
    <row r="90" spans="22:34" ht="14.25" thickBot="1">
      <c r="V90" s="6" t="s">
        <v>2208</v>
      </c>
      <c r="W90" s="4" t="s">
        <v>571</v>
      </c>
      <c r="X90" s="2"/>
      <c r="Y90" s="439" t="s">
        <v>563</v>
      </c>
      <c r="Z90" s="440">
        <v>0.1</v>
      </c>
      <c r="AA90" s="481" t="s">
        <v>313</v>
      </c>
      <c r="AB90" s="442" t="s">
        <v>572</v>
      </c>
      <c r="AC90" s="443" t="str">
        <f t="shared" si="1"/>
        <v>茨城県つくば市</v>
      </c>
      <c r="AD90" s="464">
        <v>10.7</v>
      </c>
      <c r="AE90" s="442">
        <v>10.55</v>
      </c>
      <c r="AF90" s="463">
        <v>10.45</v>
      </c>
      <c r="AG90" s="421"/>
      <c r="AH90" s="421"/>
    </row>
    <row r="91" spans="22:34" ht="14.25" thickBot="1">
      <c r="V91" s="6" t="s">
        <v>2208</v>
      </c>
      <c r="W91" s="4" t="s">
        <v>573</v>
      </c>
      <c r="X91" s="2"/>
      <c r="Y91" s="439" t="s">
        <v>563</v>
      </c>
      <c r="Z91" s="440">
        <v>0.1</v>
      </c>
      <c r="AA91" s="481" t="s">
        <v>313</v>
      </c>
      <c r="AB91" s="442" t="s">
        <v>574</v>
      </c>
      <c r="AC91" s="443" t="str">
        <f t="shared" si="1"/>
        <v>茨城県守谷市</v>
      </c>
      <c r="AD91" s="464">
        <v>10.7</v>
      </c>
      <c r="AE91" s="442">
        <v>10.55</v>
      </c>
      <c r="AF91" s="463">
        <v>10.45</v>
      </c>
      <c r="AG91" s="421"/>
      <c r="AH91" s="421"/>
    </row>
    <row r="92" spans="22:34" ht="14.25" thickBot="1">
      <c r="V92" s="6" t="s">
        <v>2208</v>
      </c>
      <c r="W92" s="4" t="s">
        <v>575</v>
      </c>
      <c r="X92" s="2"/>
      <c r="Y92" s="439" t="s">
        <v>563</v>
      </c>
      <c r="Z92" s="440">
        <v>0.1</v>
      </c>
      <c r="AA92" s="481" t="s">
        <v>326</v>
      </c>
      <c r="AB92" s="442" t="s">
        <v>576</v>
      </c>
      <c r="AC92" s="443" t="str">
        <f t="shared" si="1"/>
        <v>埼玉県川口市</v>
      </c>
      <c r="AD92" s="464">
        <v>10.7</v>
      </c>
      <c r="AE92" s="442">
        <v>10.55</v>
      </c>
      <c r="AF92" s="463">
        <v>10.45</v>
      </c>
      <c r="AG92" s="421"/>
      <c r="AH92" s="421"/>
    </row>
    <row r="93" spans="22:34" ht="14.25" thickBot="1">
      <c r="V93" s="6" t="s">
        <v>2208</v>
      </c>
      <c r="W93" s="4" t="s">
        <v>577</v>
      </c>
      <c r="X93" s="2"/>
      <c r="Y93" s="439" t="s">
        <v>563</v>
      </c>
      <c r="Z93" s="440">
        <v>0.1</v>
      </c>
      <c r="AA93" s="481" t="s">
        <v>326</v>
      </c>
      <c r="AB93" s="442" t="s">
        <v>578</v>
      </c>
      <c r="AC93" s="443" t="str">
        <f t="shared" si="1"/>
        <v>埼玉県草加市</v>
      </c>
      <c r="AD93" s="464">
        <v>10.7</v>
      </c>
      <c r="AE93" s="442">
        <v>10.55</v>
      </c>
      <c r="AF93" s="463">
        <v>10.45</v>
      </c>
      <c r="AG93" s="421"/>
      <c r="AH93" s="421"/>
    </row>
    <row r="94" spans="22:34" ht="14.25" thickBot="1">
      <c r="V94" s="6" t="s">
        <v>2208</v>
      </c>
      <c r="W94" s="4" t="s">
        <v>579</v>
      </c>
      <c r="X94" s="2"/>
      <c r="Y94" s="439" t="s">
        <v>563</v>
      </c>
      <c r="Z94" s="440">
        <v>0.1</v>
      </c>
      <c r="AA94" s="481" t="s">
        <v>326</v>
      </c>
      <c r="AB94" s="442" t="s">
        <v>580</v>
      </c>
      <c r="AC94" s="443" t="str">
        <f t="shared" si="1"/>
        <v>埼玉県戸田市</v>
      </c>
      <c r="AD94" s="464">
        <v>10.7</v>
      </c>
      <c r="AE94" s="442">
        <v>10.55</v>
      </c>
      <c r="AF94" s="463">
        <v>10.45</v>
      </c>
      <c r="AG94" s="421"/>
      <c r="AH94" s="421"/>
    </row>
    <row r="95" spans="22:34" ht="14.25" thickBot="1">
      <c r="V95" s="6" t="s">
        <v>2208</v>
      </c>
      <c r="W95" s="4" t="s">
        <v>581</v>
      </c>
      <c r="X95" s="2"/>
      <c r="Y95" s="439" t="s">
        <v>563</v>
      </c>
      <c r="Z95" s="440">
        <v>0.1</v>
      </c>
      <c r="AA95" s="481" t="s">
        <v>326</v>
      </c>
      <c r="AB95" s="442" t="s">
        <v>582</v>
      </c>
      <c r="AC95" s="443" t="str">
        <f t="shared" si="1"/>
        <v>埼玉県新座市</v>
      </c>
      <c r="AD95" s="464">
        <v>10.7</v>
      </c>
      <c r="AE95" s="442">
        <v>10.55</v>
      </c>
      <c r="AF95" s="463">
        <v>10.45</v>
      </c>
      <c r="AG95" s="421"/>
      <c r="AH95" s="421"/>
    </row>
    <row r="96" spans="22:34" ht="14.25" thickBot="1">
      <c r="V96" s="6" t="s">
        <v>2208</v>
      </c>
      <c r="W96" s="4" t="s">
        <v>583</v>
      </c>
      <c r="X96" s="2"/>
      <c r="Y96" s="439" t="s">
        <v>563</v>
      </c>
      <c r="Z96" s="440">
        <v>0.1</v>
      </c>
      <c r="AA96" s="481" t="s">
        <v>326</v>
      </c>
      <c r="AB96" s="442" t="s">
        <v>584</v>
      </c>
      <c r="AC96" s="443" t="str">
        <f t="shared" si="1"/>
        <v>埼玉県八潮市</v>
      </c>
      <c r="AD96" s="464">
        <v>10.7</v>
      </c>
      <c r="AE96" s="442">
        <v>10.55</v>
      </c>
      <c r="AF96" s="463">
        <v>10.45</v>
      </c>
      <c r="AG96" s="421"/>
      <c r="AH96" s="421"/>
    </row>
    <row r="97" spans="22:34" ht="14.25" thickBot="1">
      <c r="V97" s="6" t="s">
        <v>2208</v>
      </c>
      <c r="W97" s="4" t="s">
        <v>585</v>
      </c>
      <c r="X97" s="2"/>
      <c r="Y97" s="439" t="s">
        <v>563</v>
      </c>
      <c r="Z97" s="440">
        <v>0.1</v>
      </c>
      <c r="AA97" s="481" t="s">
        <v>326</v>
      </c>
      <c r="AB97" s="442" t="s">
        <v>586</v>
      </c>
      <c r="AC97" s="443" t="str">
        <f t="shared" si="1"/>
        <v>埼玉県ふじみ野市</v>
      </c>
      <c r="AD97" s="464">
        <v>10.7</v>
      </c>
      <c r="AE97" s="442">
        <v>10.55</v>
      </c>
      <c r="AF97" s="463">
        <v>10.45</v>
      </c>
      <c r="AG97" s="421"/>
      <c r="AH97" s="421"/>
    </row>
    <row r="98" spans="22:34" ht="14.25" thickBot="1">
      <c r="V98" s="6" t="s">
        <v>2208</v>
      </c>
      <c r="W98" s="4" t="s">
        <v>587</v>
      </c>
      <c r="X98" s="2"/>
      <c r="Y98" s="439" t="s">
        <v>563</v>
      </c>
      <c r="Z98" s="440">
        <v>0.1</v>
      </c>
      <c r="AA98" s="481" t="s">
        <v>331</v>
      </c>
      <c r="AB98" s="442" t="s">
        <v>588</v>
      </c>
      <c r="AC98" s="443" t="str">
        <f t="shared" si="1"/>
        <v>千葉県市川市</v>
      </c>
      <c r="AD98" s="464">
        <v>10.7</v>
      </c>
      <c r="AE98" s="442">
        <v>10.55</v>
      </c>
      <c r="AF98" s="463">
        <v>10.45</v>
      </c>
      <c r="AG98" s="421"/>
      <c r="AH98" s="421"/>
    </row>
    <row r="99" spans="22:34" ht="14.25" thickBot="1">
      <c r="V99" s="6" t="s">
        <v>2208</v>
      </c>
      <c r="W99" s="4" t="s">
        <v>589</v>
      </c>
      <c r="X99" s="2"/>
      <c r="Y99" s="439" t="s">
        <v>563</v>
      </c>
      <c r="Z99" s="440">
        <v>0.1</v>
      </c>
      <c r="AA99" s="481" t="s">
        <v>331</v>
      </c>
      <c r="AB99" s="442" t="s">
        <v>590</v>
      </c>
      <c r="AC99" s="443" t="str">
        <f t="shared" si="1"/>
        <v>千葉県松戸市</v>
      </c>
      <c r="AD99" s="464">
        <v>10.7</v>
      </c>
      <c r="AE99" s="442">
        <v>10.55</v>
      </c>
      <c r="AF99" s="463">
        <v>10.45</v>
      </c>
      <c r="AG99" s="421"/>
      <c r="AH99" s="421"/>
    </row>
    <row r="100" spans="22:34" ht="14.25" thickBot="1">
      <c r="V100" s="6" t="s">
        <v>2208</v>
      </c>
      <c r="W100" s="4" t="s">
        <v>591</v>
      </c>
      <c r="X100" s="2"/>
      <c r="Y100" s="439" t="s">
        <v>563</v>
      </c>
      <c r="Z100" s="440">
        <v>0.1</v>
      </c>
      <c r="AA100" s="481" t="s">
        <v>331</v>
      </c>
      <c r="AB100" s="442" t="s">
        <v>592</v>
      </c>
      <c r="AC100" s="443" t="str">
        <f t="shared" si="1"/>
        <v>千葉県佐倉市</v>
      </c>
      <c r="AD100" s="464">
        <v>10.7</v>
      </c>
      <c r="AE100" s="442">
        <v>10.55</v>
      </c>
      <c r="AF100" s="463">
        <v>10.45</v>
      </c>
      <c r="AG100" s="421"/>
      <c r="AH100" s="421"/>
    </row>
    <row r="101" spans="22:34" ht="14.25" thickBot="1">
      <c r="V101" s="6" t="s">
        <v>2208</v>
      </c>
      <c r="W101" s="4" t="s">
        <v>593</v>
      </c>
      <c r="X101" s="2"/>
      <c r="Y101" s="439" t="s">
        <v>563</v>
      </c>
      <c r="Z101" s="440">
        <v>0.1</v>
      </c>
      <c r="AA101" s="481" t="s">
        <v>331</v>
      </c>
      <c r="AB101" s="442" t="s">
        <v>594</v>
      </c>
      <c r="AC101" s="443" t="str">
        <f t="shared" si="1"/>
        <v>千葉県市原市</v>
      </c>
      <c r="AD101" s="464">
        <v>10.7</v>
      </c>
      <c r="AE101" s="442">
        <v>10.55</v>
      </c>
      <c r="AF101" s="463">
        <v>10.45</v>
      </c>
      <c r="AG101" s="421"/>
      <c r="AH101" s="421"/>
    </row>
    <row r="102" spans="22:34" ht="14.25" thickBot="1">
      <c r="V102" s="6" t="s">
        <v>2208</v>
      </c>
      <c r="W102" s="4" t="s">
        <v>595</v>
      </c>
      <c r="X102" s="2"/>
      <c r="Y102" s="439" t="s">
        <v>563</v>
      </c>
      <c r="Z102" s="440">
        <v>0.1</v>
      </c>
      <c r="AA102" s="481" t="s">
        <v>596</v>
      </c>
      <c r="AB102" s="442" t="s">
        <v>597</v>
      </c>
      <c r="AC102" s="443" t="str">
        <f t="shared" si="1"/>
        <v>千葉県八千代市</v>
      </c>
      <c r="AD102" s="464">
        <v>10.7</v>
      </c>
      <c r="AE102" s="442">
        <v>10.55</v>
      </c>
      <c r="AF102" s="463">
        <v>10.45</v>
      </c>
      <c r="AG102" s="421"/>
      <c r="AH102" s="421"/>
    </row>
    <row r="103" spans="22:34" ht="14.25" thickBot="1">
      <c r="V103" s="6" t="s">
        <v>2208</v>
      </c>
      <c r="W103" s="4" t="s">
        <v>598</v>
      </c>
      <c r="X103" s="2"/>
      <c r="Y103" s="439" t="s">
        <v>563</v>
      </c>
      <c r="Z103" s="440">
        <v>0.1</v>
      </c>
      <c r="AA103" s="481" t="s">
        <v>331</v>
      </c>
      <c r="AB103" s="442" t="s">
        <v>599</v>
      </c>
      <c r="AC103" s="443" t="str">
        <f t="shared" si="1"/>
        <v>千葉県四街道市</v>
      </c>
      <c r="AD103" s="464">
        <v>10.7</v>
      </c>
      <c r="AE103" s="442">
        <v>10.55</v>
      </c>
      <c r="AF103" s="463">
        <v>10.45</v>
      </c>
      <c r="AG103" s="421"/>
      <c r="AH103" s="421"/>
    </row>
    <row r="104" spans="22:34" ht="14.25" thickBot="1">
      <c r="V104" s="6" t="s">
        <v>2208</v>
      </c>
      <c r="W104" s="4" t="s">
        <v>600</v>
      </c>
      <c r="X104" s="2"/>
      <c r="Y104" s="439" t="s">
        <v>563</v>
      </c>
      <c r="Z104" s="440">
        <v>0.1</v>
      </c>
      <c r="AA104" s="481" t="s">
        <v>331</v>
      </c>
      <c r="AB104" s="442" t="s">
        <v>601</v>
      </c>
      <c r="AC104" s="443" t="str">
        <f t="shared" si="1"/>
        <v>千葉県袖ケ浦市</v>
      </c>
      <c r="AD104" s="464">
        <v>10.7</v>
      </c>
      <c r="AE104" s="442">
        <v>10.55</v>
      </c>
      <c r="AF104" s="463">
        <v>10.45</v>
      </c>
      <c r="AG104" s="421"/>
      <c r="AH104" s="421"/>
    </row>
    <row r="105" spans="22:34" ht="14.25" thickBot="1">
      <c r="V105" s="6" t="s">
        <v>2208</v>
      </c>
      <c r="W105" s="4" t="s">
        <v>602</v>
      </c>
      <c r="X105" s="2"/>
      <c r="Y105" s="439" t="s">
        <v>563</v>
      </c>
      <c r="Z105" s="440">
        <v>0.1</v>
      </c>
      <c r="AA105" s="481" t="s">
        <v>331</v>
      </c>
      <c r="AB105" s="442" t="s">
        <v>603</v>
      </c>
      <c r="AC105" s="443" t="str">
        <f t="shared" si="1"/>
        <v>千葉県印西市</v>
      </c>
      <c r="AD105" s="464">
        <v>10.7</v>
      </c>
      <c r="AE105" s="442">
        <v>10.55</v>
      </c>
      <c r="AF105" s="463">
        <v>10.45</v>
      </c>
      <c r="AG105" s="421"/>
      <c r="AH105" s="421"/>
    </row>
    <row r="106" spans="22:34" ht="14.25" thickBot="1">
      <c r="V106" s="6" t="s">
        <v>2208</v>
      </c>
      <c r="W106" s="4" t="s">
        <v>604</v>
      </c>
      <c r="X106" s="2"/>
      <c r="Y106" s="439" t="s">
        <v>563</v>
      </c>
      <c r="Z106" s="440">
        <v>0.1</v>
      </c>
      <c r="AA106" s="481" t="s">
        <v>331</v>
      </c>
      <c r="AB106" s="442" t="s">
        <v>605</v>
      </c>
      <c r="AC106" s="443" t="str">
        <f t="shared" si="1"/>
        <v>千葉県栄町</v>
      </c>
      <c r="AD106" s="464">
        <v>10.7</v>
      </c>
      <c r="AE106" s="442">
        <v>10.55</v>
      </c>
      <c r="AF106" s="463">
        <v>10.45</v>
      </c>
      <c r="AG106" s="421"/>
      <c r="AH106" s="421"/>
    </row>
    <row r="107" spans="22:34" ht="14.25" thickBot="1">
      <c r="V107" s="6" t="s">
        <v>2208</v>
      </c>
      <c r="W107" s="4" t="s">
        <v>606</v>
      </c>
      <c r="X107" s="2"/>
      <c r="Y107" s="439" t="s">
        <v>563</v>
      </c>
      <c r="Z107" s="440">
        <v>0.1</v>
      </c>
      <c r="AA107" s="481" t="s">
        <v>4</v>
      </c>
      <c r="AB107" s="442" t="s">
        <v>607</v>
      </c>
      <c r="AC107" s="443" t="str">
        <f t="shared" si="1"/>
        <v>東京都福生市</v>
      </c>
      <c r="AD107" s="464">
        <v>10.7</v>
      </c>
      <c r="AE107" s="442">
        <v>10.55</v>
      </c>
      <c r="AF107" s="463">
        <v>10.45</v>
      </c>
      <c r="AG107" s="421"/>
      <c r="AH107" s="421"/>
    </row>
    <row r="108" spans="22:34" ht="14.25" thickBot="1">
      <c r="V108" s="6" t="s">
        <v>2208</v>
      </c>
      <c r="W108" s="4" t="s">
        <v>608</v>
      </c>
      <c r="X108" s="2"/>
      <c r="Y108" s="439" t="s">
        <v>563</v>
      </c>
      <c r="Z108" s="440">
        <v>0.1</v>
      </c>
      <c r="AA108" s="481" t="s">
        <v>4</v>
      </c>
      <c r="AB108" s="442" t="s">
        <v>609</v>
      </c>
      <c r="AC108" s="443" t="str">
        <f t="shared" si="1"/>
        <v>東京都あきる野市</v>
      </c>
      <c r="AD108" s="464">
        <v>10.7</v>
      </c>
      <c r="AE108" s="442">
        <v>10.55</v>
      </c>
      <c r="AF108" s="463">
        <v>10.45</v>
      </c>
      <c r="AG108" s="421"/>
      <c r="AH108" s="421"/>
    </row>
    <row r="109" spans="22:34" ht="14.25" thickBot="1">
      <c r="V109" s="6" t="s">
        <v>2208</v>
      </c>
      <c r="W109" s="4" t="s">
        <v>610</v>
      </c>
      <c r="X109" s="2"/>
      <c r="Y109" s="439" t="s">
        <v>563</v>
      </c>
      <c r="Z109" s="440">
        <v>0.1</v>
      </c>
      <c r="AA109" s="481" t="s">
        <v>4</v>
      </c>
      <c r="AB109" s="442" t="s">
        <v>611</v>
      </c>
      <c r="AC109" s="443" t="str">
        <f t="shared" si="1"/>
        <v>東京都日の出町</v>
      </c>
      <c r="AD109" s="464">
        <v>10.7</v>
      </c>
      <c r="AE109" s="442">
        <v>10.55</v>
      </c>
      <c r="AF109" s="463">
        <v>10.45</v>
      </c>
      <c r="AG109" s="421"/>
      <c r="AH109" s="421"/>
    </row>
    <row r="110" spans="22:34" ht="14.25" thickBot="1">
      <c r="V110" s="6" t="s">
        <v>2208</v>
      </c>
      <c r="W110" s="4" t="s">
        <v>612</v>
      </c>
      <c r="X110" s="2"/>
      <c r="Y110" s="439" t="s">
        <v>563</v>
      </c>
      <c r="Z110" s="440">
        <v>0.1</v>
      </c>
      <c r="AA110" s="481" t="s">
        <v>338</v>
      </c>
      <c r="AB110" s="442" t="s">
        <v>613</v>
      </c>
      <c r="AC110" s="443" t="str">
        <f t="shared" si="1"/>
        <v>神奈川県平塚市</v>
      </c>
      <c r="AD110" s="464">
        <v>10.7</v>
      </c>
      <c r="AE110" s="442">
        <v>10.55</v>
      </c>
      <c r="AF110" s="463">
        <v>10.45</v>
      </c>
      <c r="AG110" s="421"/>
      <c r="AH110" s="421"/>
    </row>
    <row r="111" spans="22:34" ht="14.25" thickBot="1">
      <c r="V111" s="6" t="s">
        <v>2208</v>
      </c>
      <c r="W111" s="4" t="s">
        <v>614</v>
      </c>
      <c r="X111" s="2"/>
      <c r="Y111" s="439" t="s">
        <v>563</v>
      </c>
      <c r="Z111" s="440">
        <v>0.1</v>
      </c>
      <c r="AA111" s="481" t="s">
        <v>338</v>
      </c>
      <c r="AB111" s="442" t="s">
        <v>615</v>
      </c>
      <c r="AC111" s="443" t="str">
        <f t="shared" si="1"/>
        <v>神奈川県小田原市</v>
      </c>
      <c r="AD111" s="464">
        <v>10.7</v>
      </c>
      <c r="AE111" s="442">
        <v>10.55</v>
      </c>
      <c r="AF111" s="463">
        <v>10.45</v>
      </c>
      <c r="AG111" s="421"/>
      <c r="AH111" s="421"/>
    </row>
    <row r="112" spans="22:34" ht="14.25" thickBot="1">
      <c r="V112" s="6" t="s">
        <v>2208</v>
      </c>
      <c r="W112" s="4" t="s">
        <v>616</v>
      </c>
      <c r="X112" s="2"/>
      <c r="Y112" s="439" t="s">
        <v>563</v>
      </c>
      <c r="Z112" s="440">
        <v>0.1</v>
      </c>
      <c r="AA112" s="481" t="s">
        <v>338</v>
      </c>
      <c r="AB112" s="442" t="s">
        <v>617</v>
      </c>
      <c r="AC112" s="443" t="str">
        <f t="shared" si="1"/>
        <v>神奈川県茅ヶ崎市</v>
      </c>
      <c r="AD112" s="464">
        <v>10.7</v>
      </c>
      <c r="AE112" s="442">
        <v>10.55</v>
      </c>
      <c r="AF112" s="463">
        <v>10.45</v>
      </c>
      <c r="AG112" s="421"/>
      <c r="AH112" s="421"/>
    </row>
    <row r="113" spans="22:34" ht="14.25" thickBot="1">
      <c r="V113" s="6" t="s">
        <v>2208</v>
      </c>
      <c r="W113" s="4" t="s">
        <v>618</v>
      </c>
      <c r="X113" s="2"/>
      <c r="Y113" s="439" t="s">
        <v>563</v>
      </c>
      <c r="Z113" s="440">
        <v>0.1</v>
      </c>
      <c r="AA113" s="481" t="s">
        <v>338</v>
      </c>
      <c r="AB113" s="442" t="s">
        <v>619</v>
      </c>
      <c r="AC113" s="443" t="str">
        <f t="shared" si="1"/>
        <v>神奈川県大和市</v>
      </c>
      <c r="AD113" s="464">
        <v>10.7</v>
      </c>
      <c r="AE113" s="442">
        <v>10.55</v>
      </c>
      <c r="AF113" s="463">
        <v>10.45</v>
      </c>
      <c r="AG113" s="421"/>
      <c r="AH113" s="421"/>
    </row>
    <row r="114" spans="22:34" ht="14.25" thickBot="1">
      <c r="V114" s="6" t="s">
        <v>2208</v>
      </c>
      <c r="W114" s="4" t="s">
        <v>620</v>
      </c>
      <c r="X114" s="2"/>
      <c r="Y114" s="439" t="s">
        <v>563</v>
      </c>
      <c r="Z114" s="440">
        <v>0.1</v>
      </c>
      <c r="AA114" s="481" t="s">
        <v>338</v>
      </c>
      <c r="AB114" s="442" t="s">
        <v>621</v>
      </c>
      <c r="AC114" s="443" t="str">
        <f t="shared" si="1"/>
        <v>神奈川県伊勢原市</v>
      </c>
      <c r="AD114" s="464">
        <v>10.7</v>
      </c>
      <c r="AE114" s="442">
        <v>10.55</v>
      </c>
      <c r="AF114" s="463">
        <v>10.45</v>
      </c>
      <c r="AG114" s="421"/>
      <c r="AH114" s="421"/>
    </row>
    <row r="115" spans="22:34" ht="14.25" thickBot="1">
      <c r="V115" s="6" t="s">
        <v>2208</v>
      </c>
      <c r="W115" s="4" t="s">
        <v>622</v>
      </c>
      <c r="X115" s="2"/>
      <c r="Y115" s="439" t="s">
        <v>563</v>
      </c>
      <c r="Z115" s="440">
        <v>0.1</v>
      </c>
      <c r="AA115" s="481" t="s">
        <v>338</v>
      </c>
      <c r="AB115" s="442" t="s">
        <v>623</v>
      </c>
      <c r="AC115" s="443" t="str">
        <f t="shared" si="1"/>
        <v>神奈川県座間市</v>
      </c>
      <c r="AD115" s="464">
        <v>10.7</v>
      </c>
      <c r="AE115" s="442">
        <v>10.55</v>
      </c>
      <c r="AF115" s="463">
        <v>10.45</v>
      </c>
      <c r="AG115" s="421"/>
      <c r="AH115" s="421"/>
    </row>
    <row r="116" spans="22:34" ht="14.25" thickBot="1">
      <c r="V116" s="6" t="s">
        <v>2208</v>
      </c>
      <c r="W116" s="4" t="s">
        <v>624</v>
      </c>
      <c r="X116" s="2"/>
      <c r="Y116" s="439" t="s">
        <v>563</v>
      </c>
      <c r="Z116" s="440">
        <v>0.1</v>
      </c>
      <c r="AA116" s="481" t="s">
        <v>338</v>
      </c>
      <c r="AB116" s="442" t="s">
        <v>625</v>
      </c>
      <c r="AC116" s="443" t="str">
        <f t="shared" si="1"/>
        <v>神奈川県綾瀬市</v>
      </c>
      <c r="AD116" s="464">
        <v>10.7</v>
      </c>
      <c r="AE116" s="442">
        <v>10.55</v>
      </c>
      <c r="AF116" s="463">
        <v>10.45</v>
      </c>
      <c r="AG116" s="421"/>
      <c r="AH116" s="421"/>
    </row>
    <row r="117" spans="22:34" ht="14.25" thickBot="1">
      <c r="V117" s="6" t="s">
        <v>2208</v>
      </c>
      <c r="W117" s="4" t="s">
        <v>626</v>
      </c>
      <c r="X117" s="2"/>
      <c r="Y117" s="439" t="s">
        <v>563</v>
      </c>
      <c r="Z117" s="440">
        <v>0.1</v>
      </c>
      <c r="AA117" s="481" t="s">
        <v>338</v>
      </c>
      <c r="AB117" s="442" t="s">
        <v>627</v>
      </c>
      <c r="AC117" s="443" t="str">
        <f t="shared" si="1"/>
        <v>神奈川県葉山町</v>
      </c>
      <c r="AD117" s="464">
        <v>10.7</v>
      </c>
      <c r="AE117" s="442">
        <v>10.55</v>
      </c>
      <c r="AF117" s="463">
        <v>10.45</v>
      </c>
      <c r="AG117" s="421"/>
      <c r="AH117" s="421"/>
    </row>
    <row r="118" spans="22:34" ht="14.25" thickBot="1">
      <c r="V118" s="6" t="s">
        <v>2208</v>
      </c>
      <c r="W118" s="4" t="s">
        <v>628</v>
      </c>
      <c r="X118" s="2"/>
      <c r="Y118" s="439" t="s">
        <v>563</v>
      </c>
      <c r="Z118" s="440">
        <v>0.1</v>
      </c>
      <c r="AA118" s="481" t="s">
        <v>338</v>
      </c>
      <c r="AB118" s="442" t="s">
        <v>629</v>
      </c>
      <c r="AC118" s="443" t="str">
        <f t="shared" si="1"/>
        <v>神奈川県寒川町</v>
      </c>
      <c r="AD118" s="464">
        <v>10.7</v>
      </c>
      <c r="AE118" s="442">
        <v>10.55</v>
      </c>
      <c r="AF118" s="463">
        <v>10.45</v>
      </c>
      <c r="AG118" s="421"/>
      <c r="AH118" s="421"/>
    </row>
    <row r="119" spans="22:34" ht="14.25" thickBot="1">
      <c r="V119" s="6" t="s">
        <v>2208</v>
      </c>
      <c r="W119" s="4" t="s">
        <v>630</v>
      </c>
      <c r="X119" s="2"/>
      <c r="Y119" s="439" t="s">
        <v>563</v>
      </c>
      <c r="Z119" s="440">
        <v>0.1</v>
      </c>
      <c r="AA119" s="481" t="s">
        <v>338</v>
      </c>
      <c r="AB119" s="442" t="s">
        <v>631</v>
      </c>
      <c r="AC119" s="443" t="str">
        <f t="shared" si="1"/>
        <v>神奈川県愛川町</v>
      </c>
      <c r="AD119" s="464">
        <v>10.7</v>
      </c>
      <c r="AE119" s="442">
        <v>10.55</v>
      </c>
      <c r="AF119" s="463">
        <v>10.45</v>
      </c>
      <c r="AG119" s="421"/>
      <c r="AH119" s="421"/>
    </row>
    <row r="120" spans="22:34" ht="14.25" thickBot="1">
      <c r="V120" s="6" t="s">
        <v>2208</v>
      </c>
      <c r="W120" s="4" t="s">
        <v>632</v>
      </c>
      <c r="X120" s="2"/>
      <c r="Y120" s="439" t="s">
        <v>563</v>
      </c>
      <c r="Z120" s="440">
        <v>0.1</v>
      </c>
      <c r="AA120" s="481" t="s">
        <v>633</v>
      </c>
      <c r="AB120" s="442" t="s">
        <v>634</v>
      </c>
      <c r="AC120" s="443" t="str">
        <f t="shared" si="1"/>
        <v>愛知県知立市</v>
      </c>
      <c r="AD120" s="464">
        <v>10.7</v>
      </c>
      <c r="AE120" s="442">
        <v>10.55</v>
      </c>
      <c r="AF120" s="463">
        <v>10.45</v>
      </c>
      <c r="AG120" s="421"/>
      <c r="AH120" s="421"/>
    </row>
    <row r="121" spans="22:34" ht="14.25" thickBot="1">
      <c r="V121" s="6" t="s">
        <v>2208</v>
      </c>
      <c r="W121" s="4" t="s">
        <v>635</v>
      </c>
      <c r="X121" s="2"/>
      <c r="Y121" s="439" t="s">
        <v>563</v>
      </c>
      <c r="Z121" s="440">
        <v>0.1</v>
      </c>
      <c r="AA121" s="481" t="s">
        <v>633</v>
      </c>
      <c r="AB121" s="442" t="s">
        <v>636</v>
      </c>
      <c r="AC121" s="443" t="str">
        <f t="shared" si="1"/>
        <v>愛知県豊明市</v>
      </c>
      <c r="AD121" s="464">
        <v>10.7</v>
      </c>
      <c r="AE121" s="442">
        <v>10.55</v>
      </c>
      <c r="AF121" s="463">
        <v>10.45</v>
      </c>
      <c r="AG121" s="421"/>
      <c r="AH121" s="421"/>
    </row>
    <row r="122" spans="22:34" ht="14.25" thickBot="1">
      <c r="V122" s="6" t="s">
        <v>2208</v>
      </c>
      <c r="W122" s="4" t="s">
        <v>637</v>
      </c>
      <c r="X122" s="2"/>
      <c r="Y122" s="439" t="s">
        <v>563</v>
      </c>
      <c r="Z122" s="440">
        <v>0.1</v>
      </c>
      <c r="AA122" s="481" t="s">
        <v>633</v>
      </c>
      <c r="AB122" s="442" t="s">
        <v>638</v>
      </c>
      <c r="AC122" s="443" t="str">
        <f t="shared" si="1"/>
        <v>愛知県みよし市</v>
      </c>
      <c r="AD122" s="464">
        <v>10.7</v>
      </c>
      <c r="AE122" s="442">
        <v>10.55</v>
      </c>
      <c r="AF122" s="463">
        <v>10.45</v>
      </c>
      <c r="AG122" s="421"/>
      <c r="AH122" s="421"/>
    </row>
    <row r="123" spans="22:34" ht="14.25" thickBot="1">
      <c r="V123" s="6" t="s">
        <v>2208</v>
      </c>
      <c r="W123" s="4" t="s">
        <v>639</v>
      </c>
      <c r="X123" s="2"/>
      <c r="Y123" s="439" t="s">
        <v>563</v>
      </c>
      <c r="Z123" s="440">
        <v>0.1</v>
      </c>
      <c r="AA123" s="481" t="s">
        <v>385</v>
      </c>
      <c r="AB123" s="442" t="s">
        <v>640</v>
      </c>
      <c r="AC123" s="443" t="str">
        <f t="shared" si="1"/>
        <v>滋賀県大津市</v>
      </c>
      <c r="AD123" s="464">
        <v>10.7</v>
      </c>
      <c r="AE123" s="442">
        <v>10.55</v>
      </c>
      <c r="AF123" s="463">
        <v>10.45</v>
      </c>
      <c r="AG123" s="421"/>
      <c r="AH123" s="421"/>
    </row>
    <row r="124" spans="22:34" ht="14.25" thickBot="1">
      <c r="V124" s="6" t="s">
        <v>2208</v>
      </c>
      <c r="W124" s="4" t="s">
        <v>641</v>
      </c>
      <c r="X124" s="2"/>
      <c r="Y124" s="439" t="s">
        <v>563</v>
      </c>
      <c r="Z124" s="440">
        <v>0.1</v>
      </c>
      <c r="AA124" s="481" t="s">
        <v>385</v>
      </c>
      <c r="AB124" s="442" t="s">
        <v>642</v>
      </c>
      <c r="AC124" s="443" t="str">
        <f t="shared" si="1"/>
        <v>滋賀県草津市</v>
      </c>
      <c r="AD124" s="464">
        <v>10.7</v>
      </c>
      <c r="AE124" s="442">
        <v>10.55</v>
      </c>
      <c r="AF124" s="463">
        <v>10.45</v>
      </c>
      <c r="AG124" s="421"/>
      <c r="AH124" s="421"/>
    </row>
    <row r="125" spans="22:34" ht="14.25" thickBot="1">
      <c r="V125" s="6" t="s">
        <v>2208</v>
      </c>
      <c r="W125" s="4" t="s">
        <v>643</v>
      </c>
      <c r="X125" s="2"/>
      <c r="Y125" s="439" t="s">
        <v>563</v>
      </c>
      <c r="Z125" s="440">
        <v>0.1</v>
      </c>
      <c r="AA125" s="481" t="s">
        <v>385</v>
      </c>
      <c r="AB125" s="442" t="s">
        <v>644</v>
      </c>
      <c r="AC125" s="443" t="str">
        <f t="shared" si="1"/>
        <v>滋賀県栗東市</v>
      </c>
      <c r="AD125" s="464">
        <v>10.7</v>
      </c>
      <c r="AE125" s="442">
        <v>10.55</v>
      </c>
      <c r="AF125" s="463">
        <v>10.45</v>
      </c>
      <c r="AG125" s="421"/>
      <c r="AH125" s="421"/>
    </row>
    <row r="126" spans="22:34" ht="14.25" thickBot="1">
      <c r="V126" s="6" t="s">
        <v>2208</v>
      </c>
      <c r="W126" s="4" t="s">
        <v>645</v>
      </c>
      <c r="X126" s="2"/>
      <c r="Y126" s="439" t="s">
        <v>563</v>
      </c>
      <c r="Z126" s="440">
        <v>0.1</v>
      </c>
      <c r="AA126" s="481" t="s">
        <v>389</v>
      </c>
      <c r="AB126" s="442" t="s">
        <v>646</v>
      </c>
      <c r="AC126" s="443" t="str">
        <f t="shared" si="1"/>
        <v>京都府京都市</v>
      </c>
      <c r="AD126" s="464">
        <v>10.7</v>
      </c>
      <c r="AE126" s="442">
        <v>10.55</v>
      </c>
      <c r="AF126" s="463">
        <v>10.45</v>
      </c>
      <c r="AG126" s="421"/>
      <c r="AH126" s="421"/>
    </row>
    <row r="127" spans="22:34" ht="14.25" thickBot="1">
      <c r="V127" s="6" t="s">
        <v>2208</v>
      </c>
      <c r="W127" s="4" t="s">
        <v>647</v>
      </c>
      <c r="X127" s="2"/>
      <c r="Y127" s="439" t="s">
        <v>563</v>
      </c>
      <c r="Z127" s="440">
        <v>0.1</v>
      </c>
      <c r="AA127" s="481" t="s">
        <v>389</v>
      </c>
      <c r="AB127" s="442" t="s">
        <v>648</v>
      </c>
      <c r="AC127" s="443" t="str">
        <f t="shared" si="1"/>
        <v>京都府長岡京市</v>
      </c>
      <c r="AD127" s="464">
        <v>10.7</v>
      </c>
      <c r="AE127" s="442">
        <v>10.55</v>
      </c>
      <c r="AF127" s="463">
        <v>10.45</v>
      </c>
      <c r="AG127" s="421"/>
      <c r="AH127" s="421"/>
    </row>
    <row r="128" spans="22:34" ht="14.25" thickBot="1">
      <c r="V128" s="6" t="s">
        <v>2208</v>
      </c>
      <c r="W128" s="4" t="s">
        <v>649</v>
      </c>
      <c r="X128" s="2"/>
      <c r="Y128" s="439" t="s">
        <v>563</v>
      </c>
      <c r="Z128" s="440">
        <v>0.1</v>
      </c>
      <c r="AA128" s="481" t="s">
        <v>393</v>
      </c>
      <c r="AB128" s="442" t="s">
        <v>650</v>
      </c>
      <c r="AC128" s="443" t="str">
        <f t="shared" si="1"/>
        <v>大阪府堺市</v>
      </c>
      <c r="AD128" s="464">
        <v>10.7</v>
      </c>
      <c r="AE128" s="442">
        <v>10.55</v>
      </c>
      <c r="AF128" s="463">
        <v>10.45</v>
      </c>
      <c r="AG128" s="421"/>
      <c r="AH128" s="421"/>
    </row>
    <row r="129" spans="22:34" ht="14.25" thickBot="1">
      <c r="V129" s="6" t="s">
        <v>2208</v>
      </c>
      <c r="W129" s="4" t="s">
        <v>651</v>
      </c>
      <c r="X129" s="2"/>
      <c r="Y129" s="439" t="s">
        <v>563</v>
      </c>
      <c r="Z129" s="440">
        <v>0.1</v>
      </c>
      <c r="AA129" s="481" t="s">
        <v>393</v>
      </c>
      <c r="AB129" s="442" t="s">
        <v>652</v>
      </c>
      <c r="AC129" s="443" t="str">
        <f t="shared" si="1"/>
        <v>大阪府枚方市</v>
      </c>
      <c r="AD129" s="464">
        <v>10.7</v>
      </c>
      <c r="AE129" s="442">
        <v>10.55</v>
      </c>
      <c r="AF129" s="463">
        <v>10.45</v>
      </c>
      <c r="AG129" s="421"/>
      <c r="AH129" s="421"/>
    </row>
    <row r="130" spans="22:34" ht="14.25" thickBot="1">
      <c r="V130" s="6" t="s">
        <v>2208</v>
      </c>
      <c r="W130" s="4" t="s">
        <v>653</v>
      </c>
      <c r="X130" s="2"/>
      <c r="Y130" s="439" t="s">
        <v>563</v>
      </c>
      <c r="Z130" s="440">
        <v>0.1</v>
      </c>
      <c r="AA130" s="481" t="s">
        <v>393</v>
      </c>
      <c r="AB130" s="442" t="s">
        <v>654</v>
      </c>
      <c r="AC130" s="443" t="str">
        <f t="shared" si="1"/>
        <v>大阪府茨木市</v>
      </c>
      <c r="AD130" s="464">
        <v>10.7</v>
      </c>
      <c r="AE130" s="442">
        <v>10.55</v>
      </c>
      <c r="AF130" s="463">
        <v>10.45</v>
      </c>
      <c r="AG130" s="421"/>
      <c r="AH130" s="421"/>
    </row>
    <row r="131" spans="22:34" ht="14.25" thickBot="1">
      <c r="V131" s="6" t="s">
        <v>2208</v>
      </c>
      <c r="W131" s="4" t="s">
        <v>655</v>
      </c>
      <c r="X131" s="2"/>
      <c r="Y131" s="439" t="s">
        <v>563</v>
      </c>
      <c r="Z131" s="440">
        <v>0.1</v>
      </c>
      <c r="AA131" s="481" t="s">
        <v>393</v>
      </c>
      <c r="AB131" s="442" t="s">
        <v>656</v>
      </c>
      <c r="AC131" s="443" t="str">
        <f t="shared" si="1"/>
        <v>大阪府八尾市</v>
      </c>
      <c r="AD131" s="464">
        <v>10.7</v>
      </c>
      <c r="AE131" s="442">
        <v>10.55</v>
      </c>
      <c r="AF131" s="463">
        <v>10.45</v>
      </c>
      <c r="AG131" s="421"/>
      <c r="AH131" s="421"/>
    </row>
    <row r="132" spans="22:34" ht="14.25" thickBot="1">
      <c r="V132" s="6" t="s">
        <v>2208</v>
      </c>
      <c r="W132" s="4" t="s">
        <v>657</v>
      </c>
      <c r="X132" s="2"/>
      <c r="Y132" s="439" t="s">
        <v>563</v>
      </c>
      <c r="Z132" s="440">
        <v>0.1</v>
      </c>
      <c r="AA132" s="481" t="s">
        <v>393</v>
      </c>
      <c r="AB132" s="442" t="s">
        <v>658</v>
      </c>
      <c r="AC132" s="443" t="str">
        <f t="shared" ref="AC132:AC195" si="2">AA132&amp;AB132</f>
        <v>大阪府松原市</v>
      </c>
      <c r="AD132" s="464">
        <v>10.7</v>
      </c>
      <c r="AE132" s="442">
        <v>10.55</v>
      </c>
      <c r="AF132" s="463">
        <v>10.45</v>
      </c>
      <c r="AG132" s="421"/>
      <c r="AH132" s="421"/>
    </row>
    <row r="133" spans="22:34" ht="14.25" thickBot="1">
      <c r="V133" s="6" t="s">
        <v>2208</v>
      </c>
      <c r="W133" s="4" t="s">
        <v>659</v>
      </c>
      <c r="X133" s="2"/>
      <c r="Y133" s="439" t="s">
        <v>563</v>
      </c>
      <c r="Z133" s="440">
        <v>0.1</v>
      </c>
      <c r="AA133" s="481" t="s">
        <v>393</v>
      </c>
      <c r="AB133" s="442" t="s">
        <v>660</v>
      </c>
      <c r="AC133" s="443" t="str">
        <f t="shared" si="2"/>
        <v>大阪府摂津市</v>
      </c>
      <c r="AD133" s="464">
        <v>10.7</v>
      </c>
      <c r="AE133" s="442">
        <v>10.55</v>
      </c>
      <c r="AF133" s="463">
        <v>10.45</v>
      </c>
      <c r="AG133" s="421"/>
      <c r="AH133" s="421"/>
    </row>
    <row r="134" spans="22:34" ht="14.25" thickBot="1">
      <c r="V134" s="6" t="s">
        <v>2208</v>
      </c>
      <c r="W134" s="4" t="s">
        <v>661</v>
      </c>
      <c r="X134" s="2"/>
      <c r="Y134" s="439" t="s">
        <v>563</v>
      </c>
      <c r="Z134" s="440">
        <v>0.1</v>
      </c>
      <c r="AA134" s="481" t="s">
        <v>393</v>
      </c>
      <c r="AB134" s="442" t="s">
        <v>662</v>
      </c>
      <c r="AC134" s="443" t="str">
        <f t="shared" si="2"/>
        <v>大阪府高石市</v>
      </c>
      <c r="AD134" s="464">
        <v>10.7</v>
      </c>
      <c r="AE134" s="442">
        <v>10.55</v>
      </c>
      <c r="AF134" s="463">
        <v>10.45</v>
      </c>
      <c r="AG134" s="421"/>
      <c r="AH134" s="421"/>
    </row>
    <row r="135" spans="22:34" ht="14.25" thickBot="1">
      <c r="V135" s="6" t="s">
        <v>2208</v>
      </c>
      <c r="W135" s="4" t="s">
        <v>663</v>
      </c>
      <c r="X135" s="2"/>
      <c r="Y135" s="439" t="s">
        <v>563</v>
      </c>
      <c r="Z135" s="440">
        <v>0.1</v>
      </c>
      <c r="AA135" s="481" t="s">
        <v>393</v>
      </c>
      <c r="AB135" s="442" t="s">
        <v>664</v>
      </c>
      <c r="AC135" s="443" t="str">
        <f t="shared" si="2"/>
        <v>大阪府東大阪市</v>
      </c>
      <c r="AD135" s="464">
        <v>10.7</v>
      </c>
      <c r="AE135" s="442">
        <v>10.55</v>
      </c>
      <c r="AF135" s="463">
        <v>10.45</v>
      </c>
      <c r="AG135" s="421"/>
      <c r="AH135" s="421"/>
    </row>
    <row r="136" spans="22:34" ht="14.25" thickBot="1">
      <c r="V136" s="6" t="s">
        <v>2208</v>
      </c>
      <c r="W136" s="4" t="s">
        <v>665</v>
      </c>
      <c r="X136" s="2"/>
      <c r="Y136" s="439" t="s">
        <v>563</v>
      </c>
      <c r="Z136" s="440">
        <v>0.1</v>
      </c>
      <c r="AA136" s="481" t="s">
        <v>393</v>
      </c>
      <c r="AB136" s="442" t="s">
        <v>666</v>
      </c>
      <c r="AC136" s="443" t="str">
        <f t="shared" si="2"/>
        <v>大阪府交野市</v>
      </c>
      <c r="AD136" s="464">
        <v>10.7</v>
      </c>
      <c r="AE136" s="442">
        <v>10.55</v>
      </c>
      <c r="AF136" s="463">
        <v>10.45</v>
      </c>
      <c r="AG136" s="421"/>
      <c r="AH136" s="421"/>
    </row>
    <row r="137" spans="22:34" ht="14.25" thickBot="1">
      <c r="V137" s="6" t="s">
        <v>2208</v>
      </c>
      <c r="W137" s="4" t="s">
        <v>667</v>
      </c>
      <c r="X137" s="2"/>
      <c r="Y137" s="439" t="s">
        <v>563</v>
      </c>
      <c r="Z137" s="440">
        <v>0.1</v>
      </c>
      <c r="AA137" s="481" t="s">
        <v>397</v>
      </c>
      <c r="AB137" s="442" t="s">
        <v>668</v>
      </c>
      <c r="AC137" s="443" t="str">
        <f t="shared" si="2"/>
        <v>兵庫県尼崎市</v>
      </c>
      <c r="AD137" s="464">
        <v>10.7</v>
      </c>
      <c r="AE137" s="442">
        <v>10.55</v>
      </c>
      <c r="AF137" s="463">
        <v>10.45</v>
      </c>
      <c r="AG137" s="421"/>
      <c r="AH137" s="421"/>
    </row>
    <row r="138" spans="22:34" ht="14.25" thickBot="1">
      <c r="V138" s="6" t="s">
        <v>2208</v>
      </c>
      <c r="W138" s="4" t="s">
        <v>669</v>
      </c>
      <c r="X138" s="2"/>
      <c r="Y138" s="439" t="s">
        <v>563</v>
      </c>
      <c r="Z138" s="440">
        <v>0.1</v>
      </c>
      <c r="AA138" s="481" t="s">
        <v>397</v>
      </c>
      <c r="AB138" s="442" t="s">
        <v>670</v>
      </c>
      <c r="AC138" s="443" t="str">
        <f t="shared" si="2"/>
        <v>兵庫県伊丹市</v>
      </c>
      <c r="AD138" s="464">
        <v>10.7</v>
      </c>
      <c r="AE138" s="442">
        <v>10.55</v>
      </c>
      <c r="AF138" s="463">
        <v>10.45</v>
      </c>
      <c r="AG138" s="421"/>
      <c r="AH138" s="421"/>
    </row>
    <row r="139" spans="22:34" ht="14.25" thickBot="1">
      <c r="V139" s="6" t="s">
        <v>2208</v>
      </c>
      <c r="W139" s="4" t="s">
        <v>671</v>
      </c>
      <c r="X139" s="2"/>
      <c r="Y139" s="439" t="s">
        <v>563</v>
      </c>
      <c r="Z139" s="440">
        <v>0.1</v>
      </c>
      <c r="AA139" s="481" t="s">
        <v>397</v>
      </c>
      <c r="AB139" s="442" t="s">
        <v>672</v>
      </c>
      <c r="AC139" s="443" t="str">
        <f t="shared" si="2"/>
        <v>兵庫県川西市</v>
      </c>
      <c r="AD139" s="464">
        <v>10.7</v>
      </c>
      <c r="AE139" s="442">
        <v>10.55</v>
      </c>
      <c r="AF139" s="463">
        <v>10.45</v>
      </c>
      <c r="AG139" s="421"/>
      <c r="AH139" s="421"/>
    </row>
    <row r="140" spans="22:34" ht="14.25" thickBot="1">
      <c r="V140" s="6" t="s">
        <v>2208</v>
      </c>
      <c r="W140" s="4" t="s">
        <v>673</v>
      </c>
      <c r="X140" s="2"/>
      <c r="Y140" s="439" t="s">
        <v>563</v>
      </c>
      <c r="Z140" s="440">
        <v>0.1</v>
      </c>
      <c r="AA140" s="481" t="s">
        <v>397</v>
      </c>
      <c r="AB140" s="442" t="s">
        <v>674</v>
      </c>
      <c r="AC140" s="443" t="str">
        <f t="shared" si="2"/>
        <v>兵庫県三田市</v>
      </c>
      <c r="AD140" s="464">
        <v>10.7</v>
      </c>
      <c r="AE140" s="442">
        <v>10.55</v>
      </c>
      <c r="AF140" s="463">
        <v>10.45</v>
      </c>
      <c r="AG140" s="421"/>
      <c r="AH140" s="421"/>
    </row>
    <row r="141" spans="22:34" ht="14.25" thickBot="1">
      <c r="V141" s="6" t="s">
        <v>2208</v>
      </c>
      <c r="W141" s="4" t="s">
        <v>675</v>
      </c>
      <c r="X141" s="2"/>
      <c r="Y141" s="439" t="s">
        <v>563</v>
      </c>
      <c r="Z141" s="440">
        <v>0.1</v>
      </c>
      <c r="AA141" s="481" t="s">
        <v>426</v>
      </c>
      <c r="AB141" s="442" t="s">
        <v>676</v>
      </c>
      <c r="AC141" s="443" t="str">
        <f t="shared" si="2"/>
        <v>広島県広島市</v>
      </c>
      <c r="AD141" s="464">
        <v>10.7</v>
      </c>
      <c r="AE141" s="442">
        <v>10.55</v>
      </c>
      <c r="AF141" s="463">
        <v>10.45</v>
      </c>
      <c r="AG141" s="421"/>
      <c r="AH141" s="421"/>
    </row>
    <row r="142" spans="22:34" ht="14.25" thickBot="1">
      <c r="V142" s="6" t="s">
        <v>2208</v>
      </c>
      <c r="W142" s="4" t="s">
        <v>677</v>
      </c>
      <c r="X142" s="2"/>
      <c r="Y142" s="439" t="s">
        <v>563</v>
      </c>
      <c r="Z142" s="440">
        <v>0.1</v>
      </c>
      <c r="AA142" s="481" t="s">
        <v>426</v>
      </c>
      <c r="AB142" s="442" t="s">
        <v>678</v>
      </c>
      <c r="AC142" s="443" t="str">
        <f t="shared" si="2"/>
        <v>広島県府中町</v>
      </c>
      <c r="AD142" s="464">
        <v>10.7</v>
      </c>
      <c r="AE142" s="442">
        <v>10.55</v>
      </c>
      <c r="AF142" s="463">
        <v>10.45</v>
      </c>
      <c r="AG142" s="421"/>
      <c r="AH142" s="421"/>
    </row>
    <row r="143" spans="22:34" ht="14.25" thickBot="1">
      <c r="V143" s="6" t="s">
        <v>2208</v>
      </c>
      <c r="W143" s="4" t="s">
        <v>679</v>
      </c>
      <c r="X143" s="2"/>
      <c r="Y143" s="439" t="s">
        <v>563</v>
      </c>
      <c r="Z143" s="440">
        <v>0.1</v>
      </c>
      <c r="AA143" s="481" t="s">
        <v>451</v>
      </c>
      <c r="AB143" s="442" t="s">
        <v>680</v>
      </c>
      <c r="AC143" s="443" t="str">
        <f t="shared" si="2"/>
        <v>福岡県福岡市</v>
      </c>
      <c r="AD143" s="464">
        <v>10.7</v>
      </c>
      <c r="AE143" s="442">
        <v>10.55</v>
      </c>
      <c r="AF143" s="463">
        <v>10.45</v>
      </c>
      <c r="AG143" s="421"/>
      <c r="AH143" s="421"/>
    </row>
    <row r="144" spans="22:34" ht="14.25" thickBot="1">
      <c r="V144" s="6" t="s">
        <v>2208</v>
      </c>
      <c r="W144" s="4" t="s">
        <v>681</v>
      </c>
      <c r="X144" s="2"/>
      <c r="Y144" s="448" t="s">
        <v>563</v>
      </c>
      <c r="Z144" s="449">
        <v>0.1</v>
      </c>
      <c r="AA144" s="482" t="s">
        <v>451</v>
      </c>
      <c r="AB144" s="451" t="s">
        <v>682</v>
      </c>
      <c r="AC144" s="452" t="str">
        <f t="shared" si="2"/>
        <v>福岡県春日市</v>
      </c>
      <c r="AD144" s="470">
        <v>10.7</v>
      </c>
      <c r="AE144" s="451">
        <v>10.55</v>
      </c>
      <c r="AF144" s="471">
        <v>10.45</v>
      </c>
      <c r="AG144" s="421"/>
      <c r="AH144" s="421"/>
    </row>
    <row r="145" spans="22:34" ht="14.25" thickBot="1">
      <c r="V145" s="6" t="s">
        <v>2208</v>
      </c>
      <c r="W145" s="4" t="s">
        <v>683</v>
      </c>
      <c r="X145" s="2"/>
      <c r="Y145" s="456" t="s">
        <v>684</v>
      </c>
      <c r="Z145" s="457">
        <v>0.06</v>
      </c>
      <c r="AA145" s="484" t="s">
        <v>295</v>
      </c>
      <c r="AB145" s="459" t="s">
        <v>685</v>
      </c>
      <c r="AC145" s="460" t="str">
        <f t="shared" si="2"/>
        <v>宮城県仙台市</v>
      </c>
      <c r="AD145" s="483">
        <v>10.42</v>
      </c>
      <c r="AE145" s="459">
        <v>10.33</v>
      </c>
      <c r="AF145" s="460">
        <v>10.27</v>
      </c>
      <c r="AG145" s="421"/>
      <c r="AH145" s="421"/>
    </row>
    <row r="146" spans="22:34" ht="14.25" thickBot="1">
      <c r="V146" s="6" t="s">
        <v>2208</v>
      </c>
      <c r="W146" s="4" t="s">
        <v>686</v>
      </c>
      <c r="X146" s="2"/>
      <c r="Y146" s="439" t="s">
        <v>684</v>
      </c>
      <c r="Z146" s="440">
        <v>0.06</v>
      </c>
      <c r="AA146" s="481" t="s">
        <v>295</v>
      </c>
      <c r="AB146" s="442" t="s">
        <v>687</v>
      </c>
      <c r="AC146" s="463" t="str">
        <f t="shared" si="2"/>
        <v>宮城県多賀城市</v>
      </c>
      <c r="AD146" s="464">
        <v>10.42</v>
      </c>
      <c r="AE146" s="442">
        <v>10.33</v>
      </c>
      <c r="AF146" s="463">
        <v>10.27</v>
      </c>
      <c r="AG146" s="421"/>
      <c r="AH146" s="421"/>
    </row>
    <row r="147" spans="22:34" ht="14.25" thickBot="1">
      <c r="V147" s="6" t="s">
        <v>2208</v>
      </c>
      <c r="W147" s="4" t="s">
        <v>688</v>
      </c>
      <c r="X147" s="2"/>
      <c r="Y147" s="439" t="s">
        <v>684</v>
      </c>
      <c r="Z147" s="440">
        <v>0.06</v>
      </c>
      <c r="AA147" s="481" t="s">
        <v>313</v>
      </c>
      <c r="AB147" s="442" t="s">
        <v>689</v>
      </c>
      <c r="AC147" s="463" t="str">
        <f t="shared" si="2"/>
        <v>茨城県土浦市</v>
      </c>
      <c r="AD147" s="464">
        <v>10.42</v>
      </c>
      <c r="AE147" s="442">
        <v>10.33</v>
      </c>
      <c r="AF147" s="463">
        <v>10.27</v>
      </c>
      <c r="AG147" s="421"/>
      <c r="AH147" s="421"/>
    </row>
    <row r="148" spans="22:34" ht="14.25" thickBot="1">
      <c r="V148" s="6" t="s">
        <v>2208</v>
      </c>
      <c r="W148" s="4" t="s">
        <v>690</v>
      </c>
      <c r="X148" s="2"/>
      <c r="Y148" s="439" t="s">
        <v>684</v>
      </c>
      <c r="Z148" s="440">
        <v>0.06</v>
      </c>
      <c r="AA148" s="481" t="s">
        <v>313</v>
      </c>
      <c r="AB148" s="442" t="s">
        <v>691</v>
      </c>
      <c r="AC148" s="463" t="str">
        <f t="shared" si="2"/>
        <v>茨城県古河市</v>
      </c>
      <c r="AD148" s="464">
        <v>10.42</v>
      </c>
      <c r="AE148" s="442">
        <v>10.33</v>
      </c>
      <c r="AF148" s="463">
        <v>10.27</v>
      </c>
      <c r="AG148" s="421"/>
      <c r="AH148" s="421"/>
    </row>
    <row r="149" spans="22:34" ht="14.25" thickBot="1">
      <c r="V149" s="6" t="s">
        <v>2208</v>
      </c>
      <c r="W149" s="4" t="s">
        <v>692</v>
      </c>
      <c r="X149" s="2"/>
      <c r="Y149" s="439" t="s">
        <v>684</v>
      </c>
      <c r="Z149" s="440">
        <v>0.06</v>
      </c>
      <c r="AA149" s="481" t="s">
        <v>313</v>
      </c>
      <c r="AB149" s="442" t="s">
        <v>693</v>
      </c>
      <c r="AC149" s="463" t="str">
        <f t="shared" si="2"/>
        <v>茨城県利根町</v>
      </c>
      <c r="AD149" s="464">
        <v>10.42</v>
      </c>
      <c r="AE149" s="442">
        <v>10.33</v>
      </c>
      <c r="AF149" s="463">
        <v>10.27</v>
      </c>
      <c r="AG149" s="421"/>
      <c r="AH149" s="421"/>
    </row>
    <row r="150" spans="22:34" ht="14.25" thickBot="1">
      <c r="V150" s="6" t="s">
        <v>2208</v>
      </c>
      <c r="W150" s="4" t="s">
        <v>694</v>
      </c>
      <c r="X150" s="2"/>
      <c r="Y150" s="439" t="s">
        <v>684</v>
      </c>
      <c r="Z150" s="440">
        <v>0.06</v>
      </c>
      <c r="AA150" s="481" t="s">
        <v>317</v>
      </c>
      <c r="AB150" s="442" t="s">
        <v>695</v>
      </c>
      <c r="AC150" s="463" t="str">
        <f t="shared" si="2"/>
        <v>栃木県宇都宮市</v>
      </c>
      <c r="AD150" s="464">
        <v>10.42</v>
      </c>
      <c r="AE150" s="442">
        <v>10.33</v>
      </c>
      <c r="AF150" s="463">
        <v>10.27</v>
      </c>
      <c r="AG150" s="421"/>
      <c r="AH150" s="421"/>
    </row>
    <row r="151" spans="22:34" ht="14.25" thickBot="1">
      <c r="V151" s="6" t="s">
        <v>2208</v>
      </c>
      <c r="W151" s="4" t="s">
        <v>696</v>
      </c>
      <c r="X151" s="2"/>
      <c r="Y151" s="439" t="s">
        <v>684</v>
      </c>
      <c r="Z151" s="440">
        <v>0.06</v>
      </c>
      <c r="AA151" s="481" t="s">
        <v>317</v>
      </c>
      <c r="AB151" s="442" t="s">
        <v>697</v>
      </c>
      <c r="AC151" s="463" t="str">
        <f t="shared" si="2"/>
        <v>栃木県野木町</v>
      </c>
      <c r="AD151" s="464">
        <v>10.42</v>
      </c>
      <c r="AE151" s="442">
        <v>10.33</v>
      </c>
      <c r="AF151" s="463">
        <v>10.27</v>
      </c>
      <c r="AG151" s="421"/>
      <c r="AH151" s="421"/>
    </row>
    <row r="152" spans="22:34" ht="14.25" thickBot="1">
      <c r="V152" s="6" t="s">
        <v>2208</v>
      </c>
      <c r="W152" s="4" t="s">
        <v>698</v>
      </c>
      <c r="X152" s="2"/>
      <c r="Y152" s="439" t="s">
        <v>684</v>
      </c>
      <c r="Z152" s="440">
        <v>0.06</v>
      </c>
      <c r="AA152" s="481" t="s">
        <v>321</v>
      </c>
      <c r="AB152" s="442" t="s">
        <v>699</v>
      </c>
      <c r="AC152" s="463" t="str">
        <f t="shared" si="2"/>
        <v>群馬県高崎市</v>
      </c>
      <c r="AD152" s="464">
        <v>10.42</v>
      </c>
      <c r="AE152" s="442">
        <v>10.33</v>
      </c>
      <c r="AF152" s="463">
        <v>10.27</v>
      </c>
      <c r="AG152" s="421"/>
      <c r="AH152" s="421"/>
    </row>
    <row r="153" spans="22:34" ht="14.25" thickBot="1">
      <c r="V153" s="6" t="s">
        <v>2208</v>
      </c>
      <c r="W153" s="4" t="s">
        <v>700</v>
      </c>
      <c r="X153" s="2"/>
      <c r="Y153" s="439" t="s">
        <v>684</v>
      </c>
      <c r="Z153" s="440">
        <v>0.06</v>
      </c>
      <c r="AA153" s="481" t="s">
        <v>326</v>
      </c>
      <c r="AB153" s="442" t="s">
        <v>701</v>
      </c>
      <c r="AC153" s="463" t="str">
        <f t="shared" si="2"/>
        <v>埼玉県川越市</v>
      </c>
      <c r="AD153" s="464">
        <v>10.42</v>
      </c>
      <c r="AE153" s="442">
        <v>10.33</v>
      </c>
      <c r="AF153" s="463">
        <v>10.27</v>
      </c>
      <c r="AG153" s="421"/>
      <c r="AH153" s="421"/>
    </row>
    <row r="154" spans="22:34" ht="14.25" thickBot="1">
      <c r="V154" s="6" t="s">
        <v>2208</v>
      </c>
      <c r="W154" s="4" t="s">
        <v>702</v>
      </c>
      <c r="X154" s="2"/>
      <c r="Y154" s="439" t="s">
        <v>684</v>
      </c>
      <c r="Z154" s="440">
        <v>0.06</v>
      </c>
      <c r="AA154" s="481" t="s">
        <v>326</v>
      </c>
      <c r="AB154" s="442" t="s">
        <v>703</v>
      </c>
      <c r="AC154" s="463" t="str">
        <f t="shared" si="2"/>
        <v>埼玉県行田市</v>
      </c>
      <c r="AD154" s="464">
        <v>10.42</v>
      </c>
      <c r="AE154" s="442">
        <v>10.33</v>
      </c>
      <c r="AF154" s="463">
        <v>10.27</v>
      </c>
      <c r="AG154" s="421"/>
      <c r="AH154" s="421"/>
    </row>
    <row r="155" spans="22:34" ht="14.25" thickBot="1">
      <c r="V155" s="6" t="s">
        <v>2208</v>
      </c>
      <c r="W155" s="4" t="s">
        <v>704</v>
      </c>
      <c r="X155" s="2"/>
      <c r="Y155" s="439" t="s">
        <v>684</v>
      </c>
      <c r="Z155" s="440">
        <v>0.06</v>
      </c>
      <c r="AA155" s="481" t="s">
        <v>326</v>
      </c>
      <c r="AB155" s="442" t="s">
        <v>705</v>
      </c>
      <c r="AC155" s="463" t="str">
        <f t="shared" si="2"/>
        <v>埼玉県所沢市</v>
      </c>
      <c r="AD155" s="464">
        <v>10.42</v>
      </c>
      <c r="AE155" s="442">
        <v>10.33</v>
      </c>
      <c r="AF155" s="463">
        <v>10.27</v>
      </c>
      <c r="AG155" s="421"/>
      <c r="AH155" s="421"/>
    </row>
    <row r="156" spans="22:34" ht="14.25" thickBot="1">
      <c r="V156" s="6" t="s">
        <v>2208</v>
      </c>
      <c r="W156" s="4" t="s">
        <v>706</v>
      </c>
      <c r="X156" s="2"/>
      <c r="Y156" s="439" t="s">
        <v>684</v>
      </c>
      <c r="Z156" s="440">
        <v>0.06</v>
      </c>
      <c r="AA156" s="481" t="s">
        <v>326</v>
      </c>
      <c r="AB156" s="442" t="s">
        <v>707</v>
      </c>
      <c r="AC156" s="463" t="str">
        <f t="shared" si="2"/>
        <v>埼玉県飯能市</v>
      </c>
      <c r="AD156" s="464">
        <v>10.42</v>
      </c>
      <c r="AE156" s="442">
        <v>10.33</v>
      </c>
      <c r="AF156" s="463">
        <v>10.27</v>
      </c>
      <c r="AG156" s="421"/>
      <c r="AH156" s="421"/>
    </row>
    <row r="157" spans="22:34" ht="14.25" thickBot="1">
      <c r="V157" s="6" t="s">
        <v>2208</v>
      </c>
      <c r="W157" s="4" t="s">
        <v>708</v>
      </c>
      <c r="X157" s="2"/>
      <c r="Y157" s="439" t="s">
        <v>684</v>
      </c>
      <c r="Z157" s="440">
        <v>0.06</v>
      </c>
      <c r="AA157" s="481" t="s">
        <v>326</v>
      </c>
      <c r="AB157" s="442" t="s">
        <v>709</v>
      </c>
      <c r="AC157" s="463" t="str">
        <f t="shared" si="2"/>
        <v>埼玉県加須市</v>
      </c>
      <c r="AD157" s="464">
        <v>10.42</v>
      </c>
      <c r="AE157" s="442">
        <v>10.33</v>
      </c>
      <c r="AF157" s="463">
        <v>10.27</v>
      </c>
      <c r="AG157" s="421"/>
      <c r="AH157" s="421"/>
    </row>
    <row r="158" spans="22:34" ht="14.25" thickBot="1">
      <c r="V158" s="6" t="s">
        <v>2208</v>
      </c>
      <c r="W158" s="4" t="s">
        <v>710</v>
      </c>
      <c r="X158" s="2"/>
      <c r="Y158" s="439" t="s">
        <v>684</v>
      </c>
      <c r="Z158" s="440">
        <v>0.06</v>
      </c>
      <c r="AA158" s="481" t="s">
        <v>326</v>
      </c>
      <c r="AB158" s="442" t="s">
        <v>711</v>
      </c>
      <c r="AC158" s="463" t="str">
        <f t="shared" si="2"/>
        <v>埼玉県東松山市</v>
      </c>
      <c r="AD158" s="464">
        <v>10.42</v>
      </c>
      <c r="AE158" s="442">
        <v>10.33</v>
      </c>
      <c r="AF158" s="463">
        <v>10.27</v>
      </c>
      <c r="AG158" s="421"/>
      <c r="AH158" s="421"/>
    </row>
    <row r="159" spans="22:34" ht="14.25" thickBot="1">
      <c r="V159" s="6" t="s">
        <v>2208</v>
      </c>
      <c r="W159" s="4" t="s">
        <v>712</v>
      </c>
      <c r="X159" s="2"/>
      <c r="Y159" s="439" t="s">
        <v>684</v>
      </c>
      <c r="Z159" s="440">
        <v>0.06</v>
      </c>
      <c r="AA159" s="481" t="s">
        <v>326</v>
      </c>
      <c r="AB159" s="442" t="s">
        <v>713</v>
      </c>
      <c r="AC159" s="463" t="str">
        <f t="shared" si="2"/>
        <v>埼玉県春日部市</v>
      </c>
      <c r="AD159" s="464">
        <v>10.42</v>
      </c>
      <c r="AE159" s="442">
        <v>10.33</v>
      </c>
      <c r="AF159" s="463">
        <v>10.27</v>
      </c>
      <c r="AG159" s="421"/>
      <c r="AH159" s="421"/>
    </row>
    <row r="160" spans="22:34" ht="14.25" thickBot="1">
      <c r="V160" s="6" t="s">
        <v>2208</v>
      </c>
      <c r="W160" s="4" t="s">
        <v>714</v>
      </c>
      <c r="X160" s="2"/>
      <c r="Y160" s="439" t="s">
        <v>684</v>
      </c>
      <c r="Z160" s="440">
        <v>0.06</v>
      </c>
      <c r="AA160" s="481" t="s">
        <v>326</v>
      </c>
      <c r="AB160" s="442" t="s">
        <v>715</v>
      </c>
      <c r="AC160" s="463" t="str">
        <f t="shared" si="2"/>
        <v>埼玉県狭山市</v>
      </c>
      <c r="AD160" s="464">
        <v>10.42</v>
      </c>
      <c r="AE160" s="442">
        <v>10.33</v>
      </c>
      <c r="AF160" s="463">
        <v>10.27</v>
      </c>
      <c r="AG160" s="421"/>
      <c r="AH160" s="421"/>
    </row>
    <row r="161" spans="22:34" ht="14.25" thickBot="1">
      <c r="V161" s="6" t="s">
        <v>2208</v>
      </c>
      <c r="W161" s="4" t="s">
        <v>716</v>
      </c>
      <c r="X161" s="2"/>
      <c r="Y161" s="439" t="s">
        <v>684</v>
      </c>
      <c r="Z161" s="440">
        <v>0.06</v>
      </c>
      <c r="AA161" s="481" t="s">
        <v>326</v>
      </c>
      <c r="AB161" s="442" t="s">
        <v>717</v>
      </c>
      <c r="AC161" s="463" t="str">
        <f t="shared" si="2"/>
        <v>埼玉県羽生市</v>
      </c>
      <c r="AD161" s="464">
        <v>10.42</v>
      </c>
      <c r="AE161" s="442">
        <v>10.33</v>
      </c>
      <c r="AF161" s="463">
        <v>10.27</v>
      </c>
      <c r="AG161" s="421"/>
      <c r="AH161" s="421"/>
    </row>
    <row r="162" spans="22:34" ht="14.25" thickBot="1">
      <c r="V162" s="6" t="s">
        <v>2208</v>
      </c>
      <c r="W162" s="4" t="s">
        <v>718</v>
      </c>
      <c r="X162" s="2"/>
      <c r="Y162" s="439" t="s">
        <v>684</v>
      </c>
      <c r="Z162" s="440">
        <v>0.06</v>
      </c>
      <c r="AA162" s="481" t="s">
        <v>326</v>
      </c>
      <c r="AB162" s="442" t="s">
        <v>719</v>
      </c>
      <c r="AC162" s="463" t="str">
        <f t="shared" si="2"/>
        <v>埼玉県鴻巣市</v>
      </c>
      <c r="AD162" s="464">
        <v>10.42</v>
      </c>
      <c r="AE162" s="442">
        <v>10.33</v>
      </c>
      <c r="AF162" s="463">
        <v>10.27</v>
      </c>
      <c r="AG162" s="421"/>
      <c r="AH162" s="421"/>
    </row>
    <row r="163" spans="22:34" ht="14.25" thickBot="1">
      <c r="V163" s="6" t="s">
        <v>2208</v>
      </c>
      <c r="W163" s="4" t="s">
        <v>720</v>
      </c>
      <c r="X163" s="2"/>
      <c r="Y163" s="439" t="s">
        <v>684</v>
      </c>
      <c r="Z163" s="440">
        <v>0.06</v>
      </c>
      <c r="AA163" s="481" t="s">
        <v>326</v>
      </c>
      <c r="AB163" s="442" t="s">
        <v>721</v>
      </c>
      <c r="AC163" s="463" t="str">
        <f t="shared" si="2"/>
        <v>埼玉県上尾市</v>
      </c>
      <c r="AD163" s="464">
        <v>10.42</v>
      </c>
      <c r="AE163" s="442">
        <v>10.33</v>
      </c>
      <c r="AF163" s="463">
        <v>10.27</v>
      </c>
      <c r="AG163" s="421"/>
      <c r="AH163" s="421"/>
    </row>
    <row r="164" spans="22:34" ht="14.25" thickBot="1">
      <c r="V164" s="6" t="s">
        <v>2208</v>
      </c>
      <c r="W164" s="4" t="s">
        <v>722</v>
      </c>
      <c r="X164" s="2"/>
      <c r="Y164" s="439" t="s">
        <v>684</v>
      </c>
      <c r="Z164" s="440">
        <v>0.06</v>
      </c>
      <c r="AA164" s="481" t="s">
        <v>326</v>
      </c>
      <c r="AB164" s="442" t="s">
        <v>723</v>
      </c>
      <c r="AC164" s="463" t="str">
        <f t="shared" si="2"/>
        <v>埼玉県越谷市</v>
      </c>
      <c r="AD164" s="464">
        <v>10.42</v>
      </c>
      <c r="AE164" s="442">
        <v>10.33</v>
      </c>
      <c r="AF164" s="463">
        <v>10.27</v>
      </c>
      <c r="AG164" s="421"/>
      <c r="AH164" s="421"/>
    </row>
    <row r="165" spans="22:34" ht="14.25" thickBot="1">
      <c r="V165" s="6" t="s">
        <v>2208</v>
      </c>
      <c r="W165" s="4" t="s">
        <v>724</v>
      </c>
      <c r="X165" s="2"/>
      <c r="Y165" s="439" t="s">
        <v>684</v>
      </c>
      <c r="Z165" s="440">
        <v>0.06</v>
      </c>
      <c r="AA165" s="481" t="s">
        <v>326</v>
      </c>
      <c r="AB165" s="442" t="s">
        <v>725</v>
      </c>
      <c r="AC165" s="463" t="str">
        <f t="shared" si="2"/>
        <v>埼玉県蕨市</v>
      </c>
      <c r="AD165" s="464">
        <v>10.42</v>
      </c>
      <c r="AE165" s="442">
        <v>10.33</v>
      </c>
      <c r="AF165" s="463">
        <v>10.27</v>
      </c>
      <c r="AG165" s="421"/>
      <c r="AH165" s="421"/>
    </row>
    <row r="166" spans="22:34" ht="14.25" thickBot="1">
      <c r="V166" s="6" t="s">
        <v>2208</v>
      </c>
      <c r="W166" s="4" t="s">
        <v>726</v>
      </c>
      <c r="X166" s="2"/>
      <c r="Y166" s="439" t="s">
        <v>684</v>
      </c>
      <c r="Z166" s="440">
        <v>0.06</v>
      </c>
      <c r="AA166" s="481" t="s">
        <v>326</v>
      </c>
      <c r="AB166" s="442" t="s">
        <v>727</v>
      </c>
      <c r="AC166" s="463" t="str">
        <f t="shared" si="2"/>
        <v>埼玉県入間市</v>
      </c>
      <c r="AD166" s="464">
        <v>10.42</v>
      </c>
      <c r="AE166" s="442">
        <v>10.33</v>
      </c>
      <c r="AF166" s="463">
        <v>10.27</v>
      </c>
      <c r="AG166" s="421"/>
      <c r="AH166" s="421"/>
    </row>
    <row r="167" spans="22:34" ht="14.25" thickBot="1">
      <c r="V167" s="6" t="s">
        <v>2208</v>
      </c>
      <c r="W167" s="4" t="s">
        <v>728</v>
      </c>
      <c r="X167" s="2"/>
      <c r="Y167" s="439" t="s">
        <v>684</v>
      </c>
      <c r="Z167" s="440">
        <v>0.06</v>
      </c>
      <c r="AA167" s="481" t="s">
        <v>326</v>
      </c>
      <c r="AB167" s="442" t="s">
        <v>729</v>
      </c>
      <c r="AC167" s="463" t="str">
        <f t="shared" si="2"/>
        <v>埼玉県桶川市</v>
      </c>
      <c r="AD167" s="464">
        <v>10.42</v>
      </c>
      <c r="AE167" s="442">
        <v>10.33</v>
      </c>
      <c r="AF167" s="463">
        <v>10.27</v>
      </c>
      <c r="AG167" s="421"/>
      <c r="AH167" s="421"/>
    </row>
    <row r="168" spans="22:34" ht="14.25" thickBot="1">
      <c r="V168" s="6" t="s">
        <v>2208</v>
      </c>
      <c r="W168" s="4" t="s">
        <v>730</v>
      </c>
      <c r="X168" s="2"/>
      <c r="Y168" s="439" t="s">
        <v>684</v>
      </c>
      <c r="Z168" s="440">
        <v>0.06</v>
      </c>
      <c r="AA168" s="481" t="s">
        <v>326</v>
      </c>
      <c r="AB168" s="442" t="s">
        <v>731</v>
      </c>
      <c r="AC168" s="463" t="str">
        <f t="shared" si="2"/>
        <v>埼玉県久喜市</v>
      </c>
      <c r="AD168" s="464">
        <v>10.42</v>
      </c>
      <c r="AE168" s="442">
        <v>10.33</v>
      </c>
      <c r="AF168" s="463">
        <v>10.27</v>
      </c>
      <c r="AG168" s="421"/>
      <c r="AH168" s="421"/>
    </row>
    <row r="169" spans="22:34" ht="14.25" thickBot="1">
      <c r="V169" s="6" t="s">
        <v>2208</v>
      </c>
      <c r="W169" s="4" t="s">
        <v>732</v>
      </c>
      <c r="X169" s="2"/>
      <c r="Y169" s="439" t="s">
        <v>684</v>
      </c>
      <c r="Z169" s="440">
        <v>0.06</v>
      </c>
      <c r="AA169" s="481" t="s">
        <v>326</v>
      </c>
      <c r="AB169" s="442" t="s">
        <v>733</v>
      </c>
      <c r="AC169" s="463" t="str">
        <f t="shared" si="2"/>
        <v>埼玉県北本市</v>
      </c>
      <c r="AD169" s="464">
        <v>10.42</v>
      </c>
      <c r="AE169" s="442">
        <v>10.33</v>
      </c>
      <c r="AF169" s="463">
        <v>10.27</v>
      </c>
      <c r="AG169" s="421"/>
      <c r="AH169" s="421"/>
    </row>
    <row r="170" spans="22:34" ht="14.25" thickBot="1">
      <c r="V170" s="6" t="s">
        <v>2208</v>
      </c>
      <c r="W170" s="4" t="s">
        <v>734</v>
      </c>
      <c r="X170" s="2"/>
      <c r="Y170" s="439" t="s">
        <v>684</v>
      </c>
      <c r="Z170" s="440">
        <v>0.06</v>
      </c>
      <c r="AA170" s="481" t="s">
        <v>326</v>
      </c>
      <c r="AB170" s="442" t="s">
        <v>735</v>
      </c>
      <c r="AC170" s="463" t="str">
        <f t="shared" si="2"/>
        <v>埼玉県富士見市</v>
      </c>
      <c r="AD170" s="464">
        <v>10.42</v>
      </c>
      <c r="AE170" s="442">
        <v>10.33</v>
      </c>
      <c r="AF170" s="463">
        <v>10.27</v>
      </c>
      <c r="AG170" s="421"/>
      <c r="AH170" s="421"/>
    </row>
    <row r="171" spans="22:34" ht="14.25" thickBot="1">
      <c r="V171" s="6" t="s">
        <v>2208</v>
      </c>
      <c r="W171" s="4" t="s">
        <v>736</v>
      </c>
      <c r="X171" s="2"/>
      <c r="Y171" s="439" t="s">
        <v>684</v>
      </c>
      <c r="Z171" s="440">
        <v>0.06</v>
      </c>
      <c r="AA171" s="481" t="s">
        <v>326</v>
      </c>
      <c r="AB171" s="442" t="s">
        <v>737</v>
      </c>
      <c r="AC171" s="463" t="str">
        <f t="shared" si="2"/>
        <v>埼玉県三郷市</v>
      </c>
      <c r="AD171" s="464">
        <v>10.42</v>
      </c>
      <c r="AE171" s="442">
        <v>10.33</v>
      </c>
      <c r="AF171" s="463">
        <v>10.27</v>
      </c>
      <c r="AG171" s="421"/>
      <c r="AH171" s="421"/>
    </row>
    <row r="172" spans="22:34" ht="14.25" thickBot="1">
      <c r="V172" s="6" t="s">
        <v>2208</v>
      </c>
      <c r="W172" s="4" t="s">
        <v>738</v>
      </c>
      <c r="X172" s="2"/>
      <c r="Y172" s="439" t="s">
        <v>684</v>
      </c>
      <c r="Z172" s="440">
        <v>0.06</v>
      </c>
      <c r="AA172" s="481" t="s">
        <v>326</v>
      </c>
      <c r="AB172" s="442" t="s">
        <v>739</v>
      </c>
      <c r="AC172" s="463" t="str">
        <f t="shared" si="2"/>
        <v>埼玉県蓮田市</v>
      </c>
      <c r="AD172" s="464">
        <v>10.42</v>
      </c>
      <c r="AE172" s="442">
        <v>10.33</v>
      </c>
      <c r="AF172" s="463">
        <v>10.27</v>
      </c>
      <c r="AG172" s="421"/>
      <c r="AH172" s="421"/>
    </row>
    <row r="173" spans="22:34" ht="14.25" thickBot="1">
      <c r="V173" s="6" t="s">
        <v>2208</v>
      </c>
      <c r="W173" s="4" t="s">
        <v>740</v>
      </c>
      <c r="X173" s="2"/>
      <c r="Y173" s="439" t="s">
        <v>684</v>
      </c>
      <c r="Z173" s="440">
        <v>0.06</v>
      </c>
      <c r="AA173" s="481" t="s">
        <v>326</v>
      </c>
      <c r="AB173" s="442" t="s">
        <v>741</v>
      </c>
      <c r="AC173" s="463" t="str">
        <f t="shared" si="2"/>
        <v>埼玉県坂戸市</v>
      </c>
      <c r="AD173" s="464">
        <v>10.42</v>
      </c>
      <c r="AE173" s="442">
        <v>10.33</v>
      </c>
      <c r="AF173" s="463">
        <v>10.27</v>
      </c>
      <c r="AG173" s="421"/>
      <c r="AH173" s="421"/>
    </row>
    <row r="174" spans="22:34" ht="14.25" thickBot="1">
      <c r="V174" s="6" t="s">
        <v>2208</v>
      </c>
      <c r="W174" s="4" t="s">
        <v>742</v>
      </c>
      <c r="X174" s="2"/>
      <c r="Y174" s="439" t="s">
        <v>684</v>
      </c>
      <c r="Z174" s="440">
        <v>0.06</v>
      </c>
      <c r="AA174" s="481" t="s">
        <v>326</v>
      </c>
      <c r="AB174" s="442" t="s">
        <v>743</v>
      </c>
      <c r="AC174" s="463" t="str">
        <f t="shared" si="2"/>
        <v>埼玉県幸手市</v>
      </c>
      <c r="AD174" s="464">
        <v>10.42</v>
      </c>
      <c r="AE174" s="442">
        <v>10.33</v>
      </c>
      <c r="AF174" s="463">
        <v>10.27</v>
      </c>
      <c r="AG174" s="421"/>
      <c r="AH174" s="421"/>
    </row>
    <row r="175" spans="22:34" ht="14.25" thickBot="1">
      <c r="V175" s="6" t="s">
        <v>2208</v>
      </c>
      <c r="W175" s="4" t="s">
        <v>744</v>
      </c>
      <c r="X175" s="2"/>
      <c r="Y175" s="439" t="s">
        <v>684</v>
      </c>
      <c r="Z175" s="440">
        <v>0.06</v>
      </c>
      <c r="AA175" s="481" t="s">
        <v>326</v>
      </c>
      <c r="AB175" s="442" t="s">
        <v>745</v>
      </c>
      <c r="AC175" s="463" t="str">
        <f t="shared" si="2"/>
        <v>埼玉県鶴ヶ島市</v>
      </c>
      <c r="AD175" s="464">
        <v>10.42</v>
      </c>
      <c r="AE175" s="442">
        <v>10.33</v>
      </c>
      <c r="AF175" s="463">
        <v>10.27</v>
      </c>
      <c r="AG175" s="421"/>
      <c r="AH175" s="421"/>
    </row>
    <row r="176" spans="22:34" ht="14.25" thickBot="1">
      <c r="V176" s="6" t="s">
        <v>2208</v>
      </c>
      <c r="W176" s="4" t="s">
        <v>746</v>
      </c>
      <c r="X176" s="2"/>
      <c r="Y176" s="439" t="s">
        <v>684</v>
      </c>
      <c r="Z176" s="440">
        <v>0.06</v>
      </c>
      <c r="AA176" s="481" t="s">
        <v>326</v>
      </c>
      <c r="AB176" s="442" t="s">
        <v>747</v>
      </c>
      <c r="AC176" s="463" t="str">
        <f t="shared" si="2"/>
        <v>埼玉県吉川市</v>
      </c>
      <c r="AD176" s="464">
        <v>10.42</v>
      </c>
      <c r="AE176" s="442">
        <v>10.33</v>
      </c>
      <c r="AF176" s="463">
        <v>10.27</v>
      </c>
      <c r="AG176" s="421"/>
      <c r="AH176" s="421"/>
    </row>
    <row r="177" spans="22:34" ht="14.25" thickBot="1">
      <c r="V177" s="6" t="s">
        <v>2208</v>
      </c>
      <c r="W177" s="4" t="s">
        <v>748</v>
      </c>
      <c r="X177" s="2"/>
      <c r="Y177" s="439" t="s">
        <v>684</v>
      </c>
      <c r="Z177" s="440">
        <v>0.06</v>
      </c>
      <c r="AA177" s="481" t="s">
        <v>326</v>
      </c>
      <c r="AB177" s="442" t="s">
        <v>749</v>
      </c>
      <c r="AC177" s="463" t="str">
        <f t="shared" si="2"/>
        <v>埼玉県白岡市</v>
      </c>
      <c r="AD177" s="464">
        <v>10.42</v>
      </c>
      <c r="AE177" s="442">
        <v>10.33</v>
      </c>
      <c r="AF177" s="463">
        <v>10.27</v>
      </c>
      <c r="AG177" s="421"/>
      <c r="AH177" s="421"/>
    </row>
    <row r="178" spans="22:34" ht="14.25" thickBot="1">
      <c r="V178" s="6" t="s">
        <v>2208</v>
      </c>
      <c r="W178" s="4" t="s">
        <v>750</v>
      </c>
      <c r="X178" s="2"/>
      <c r="Y178" s="439" t="s">
        <v>684</v>
      </c>
      <c r="Z178" s="440">
        <v>0.06</v>
      </c>
      <c r="AA178" s="481" t="s">
        <v>326</v>
      </c>
      <c r="AB178" s="442" t="s">
        <v>751</v>
      </c>
      <c r="AC178" s="463" t="str">
        <f t="shared" si="2"/>
        <v>埼玉県伊奈町</v>
      </c>
      <c r="AD178" s="464">
        <v>10.42</v>
      </c>
      <c r="AE178" s="442">
        <v>10.33</v>
      </c>
      <c r="AF178" s="463">
        <v>10.27</v>
      </c>
      <c r="AG178" s="421"/>
      <c r="AH178" s="421"/>
    </row>
    <row r="179" spans="22:34" ht="14.25" thickBot="1">
      <c r="V179" s="6" t="s">
        <v>2208</v>
      </c>
      <c r="W179" s="4" t="s">
        <v>752</v>
      </c>
      <c r="X179" s="2"/>
      <c r="Y179" s="439" t="s">
        <v>684</v>
      </c>
      <c r="Z179" s="440">
        <v>0.06</v>
      </c>
      <c r="AA179" s="481" t="s">
        <v>326</v>
      </c>
      <c r="AB179" s="442" t="s">
        <v>753</v>
      </c>
      <c r="AC179" s="463" t="str">
        <f t="shared" si="2"/>
        <v>埼玉県三芳町</v>
      </c>
      <c r="AD179" s="464">
        <v>10.42</v>
      </c>
      <c r="AE179" s="442">
        <v>10.33</v>
      </c>
      <c r="AF179" s="463">
        <v>10.27</v>
      </c>
      <c r="AG179" s="421"/>
      <c r="AH179" s="421"/>
    </row>
    <row r="180" spans="22:34" ht="14.25" thickBot="1">
      <c r="V180" s="6" t="s">
        <v>2208</v>
      </c>
      <c r="W180" s="4" t="s">
        <v>754</v>
      </c>
      <c r="X180" s="2"/>
      <c r="Y180" s="439" t="s">
        <v>684</v>
      </c>
      <c r="Z180" s="440">
        <v>0.06</v>
      </c>
      <c r="AA180" s="481" t="s">
        <v>326</v>
      </c>
      <c r="AB180" s="442" t="s">
        <v>755</v>
      </c>
      <c r="AC180" s="463" t="str">
        <f t="shared" si="2"/>
        <v>埼玉県宮代町</v>
      </c>
      <c r="AD180" s="464">
        <v>10.42</v>
      </c>
      <c r="AE180" s="442">
        <v>10.33</v>
      </c>
      <c r="AF180" s="463">
        <v>10.27</v>
      </c>
      <c r="AG180" s="421"/>
      <c r="AH180" s="421"/>
    </row>
    <row r="181" spans="22:34" ht="14.25" thickBot="1">
      <c r="V181" s="6" t="s">
        <v>2208</v>
      </c>
      <c r="W181" s="4" t="s">
        <v>756</v>
      </c>
      <c r="X181" s="2"/>
      <c r="Y181" s="439" t="s">
        <v>684</v>
      </c>
      <c r="Z181" s="440">
        <v>0.06</v>
      </c>
      <c r="AA181" s="481" t="s">
        <v>326</v>
      </c>
      <c r="AB181" s="442" t="s">
        <v>757</v>
      </c>
      <c r="AC181" s="463" t="str">
        <f t="shared" si="2"/>
        <v>埼玉県杉戸町</v>
      </c>
      <c r="AD181" s="464">
        <v>10.42</v>
      </c>
      <c r="AE181" s="442">
        <v>10.33</v>
      </c>
      <c r="AF181" s="463">
        <v>10.27</v>
      </c>
      <c r="AG181" s="421"/>
      <c r="AH181" s="421"/>
    </row>
    <row r="182" spans="22:34" ht="14.25" thickBot="1">
      <c r="V182" s="6" t="s">
        <v>2208</v>
      </c>
      <c r="W182" s="4" t="s">
        <v>758</v>
      </c>
      <c r="X182" s="2"/>
      <c r="Y182" s="439" t="s">
        <v>684</v>
      </c>
      <c r="Z182" s="440">
        <v>0.06</v>
      </c>
      <c r="AA182" s="481" t="s">
        <v>326</v>
      </c>
      <c r="AB182" s="442" t="s">
        <v>759</v>
      </c>
      <c r="AC182" s="463" t="str">
        <f t="shared" si="2"/>
        <v>埼玉県松伏町</v>
      </c>
      <c r="AD182" s="464">
        <v>10.42</v>
      </c>
      <c r="AE182" s="442">
        <v>10.33</v>
      </c>
      <c r="AF182" s="463">
        <v>10.27</v>
      </c>
      <c r="AG182" s="421"/>
      <c r="AH182" s="421"/>
    </row>
    <row r="183" spans="22:34" ht="14.25" thickBot="1">
      <c r="V183" s="6" t="s">
        <v>2208</v>
      </c>
      <c r="W183" s="4" t="s">
        <v>760</v>
      </c>
      <c r="X183" s="2"/>
      <c r="Y183" s="439" t="s">
        <v>684</v>
      </c>
      <c r="Z183" s="440">
        <v>0.06</v>
      </c>
      <c r="AA183" s="481" t="s">
        <v>331</v>
      </c>
      <c r="AB183" s="442" t="s">
        <v>761</v>
      </c>
      <c r="AC183" s="463" t="str">
        <f t="shared" si="2"/>
        <v>千葉県木更津市</v>
      </c>
      <c r="AD183" s="464">
        <v>10.42</v>
      </c>
      <c r="AE183" s="442">
        <v>10.33</v>
      </c>
      <c r="AF183" s="463">
        <v>10.27</v>
      </c>
      <c r="AG183" s="421"/>
      <c r="AH183" s="421"/>
    </row>
    <row r="184" spans="22:34" ht="14.25" thickBot="1">
      <c r="V184" s="6" t="s">
        <v>2208</v>
      </c>
      <c r="W184" s="4" t="s">
        <v>762</v>
      </c>
      <c r="X184" s="2"/>
      <c r="Y184" s="439" t="s">
        <v>684</v>
      </c>
      <c r="Z184" s="440">
        <v>0.06</v>
      </c>
      <c r="AA184" s="481" t="s">
        <v>331</v>
      </c>
      <c r="AB184" s="442" t="s">
        <v>763</v>
      </c>
      <c r="AC184" s="463" t="str">
        <f t="shared" si="2"/>
        <v>千葉県野田市</v>
      </c>
      <c r="AD184" s="464">
        <v>10.42</v>
      </c>
      <c r="AE184" s="442">
        <v>10.33</v>
      </c>
      <c r="AF184" s="463">
        <v>10.27</v>
      </c>
      <c r="AG184" s="421"/>
      <c r="AH184" s="421"/>
    </row>
    <row r="185" spans="22:34" ht="14.25" thickBot="1">
      <c r="V185" s="6" t="s">
        <v>2208</v>
      </c>
      <c r="W185" s="4" t="s">
        <v>764</v>
      </c>
      <c r="X185" s="2"/>
      <c r="Y185" s="439" t="s">
        <v>684</v>
      </c>
      <c r="Z185" s="440">
        <v>0.06</v>
      </c>
      <c r="AA185" s="481" t="s">
        <v>331</v>
      </c>
      <c r="AB185" s="442" t="s">
        <v>765</v>
      </c>
      <c r="AC185" s="463" t="str">
        <f t="shared" si="2"/>
        <v>千葉県茂原市</v>
      </c>
      <c r="AD185" s="464">
        <v>10.42</v>
      </c>
      <c r="AE185" s="442">
        <v>10.33</v>
      </c>
      <c r="AF185" s="463">
        <v>10.27</v>
      </c>
      <c r="AG185" s="421"/>
      <c r="AH185" s="421"/>
    </row>
    <row r="186" spans="22:34" ht="14.25" thickBot="1">
      <c r="V186" s="6" t="s">
        <v>2208</v>
      </c>
      <c r="W186" s="4" t="s">
        <v>766</v>
      </c>
      <c r="X186" s="2"/>
      <c r="Y186" s="439" t="s">
        <v>684</v>
      </c>
      <c r="Z186" s="440">
        <v>0.06</v>
      </c>
      <c r="AA186" s="481" t="s">
        <v>331</v>
      </c>
      <c r="AB186" s="442" t="s">
        <v>767</v>
      </c>
      <c r="AC186" s="463" t="str">
        <f t="shared" si="2"/>
        <v>千葉県柏市</v>
      </c>
      <c r="AD186" s="464">
        <v>10.42</v>
      </c>
      <c r="AE186" s="442">
        <v>10.33</v>
      </c>
      <c r="AF186" s="463">
        <v>10.27</v>
      </c>
      <c r="AG186" s="421"/>
      <c r="AH186" s="421"/>
    </row>
    <row r="187" spans="22:34">
      <c r="V187" s="6" t="s">
        <v>2208</v>
      </c>
      <c r="W187" s="4" t="s">
        <v>768</v>
      </c>
      <c r="X187" s="2"/>
      <c r="Y187" s="439" t="s">
        <v>684</v>
      </c>
      <c r="Z187" s="440">
        <v>0.06</v>
      </c>
      <c r="AA187" s="481" t="s">
        <v>331</v>
      </c>
      <c r="AB187" s="442" t="s">
        <v>769</v>
      </c>
      <c r="AC187" s="463" t="str">
        <f t="shared" si="2"/>
        <v>千葉県流山市</v>
      </c>
      <c r="AD187" s="464">
        <v>10.42</v>
      </c>
      <c r="AE187" s="442">
        <v>10.33</v>
      </c>
      <c r="AF187" s="463">
        <v>10.27</v>
      </c>
      <c r="AG187" s="421"/>
      <c r="AH187" s="421"/>
    </row>
    <row r="188" spans="22:34">
      <c r="V188" s="4" t="s">
        <v>287</v>
      </c>
      <c r="W188" s="4" t="s">
        <v>770</v>
      </c>
      <c r="X188" s="2"/>
      <c r="Y188" s="439" t="s">
        <v>684</v>
      </c>
      <c r="Z188" s="440">
        <v>0.06</v>
      </c>
      <c r="AA188" s="481" t="s">
        <v>331</v>
      </c>
      <c r="AB188" s="442" t="s">
        <v>771</v>
      </c>
      <c r="AC188" s="463" t="str">
        <f t="shared" si="2"/>
        <v>千葉県我孫子市</v>
      </c>
      <c r="AD188" s="464">
        <v>10.42</v>
      </c>
      <c r="AE188" s="442">
        <v>10.33</v>
      </c>
      <c r="AF188" s="463">
        <v>10.27</v>
      </c>
      <c r="AG188" s="421"/>
      <c r="AH188" s="421"/>
    </row>
    <row r="189" spans="22:34">
      <c r="V189" s="4" t="s">
        <v>287</v>
      </c>
      <c r="W189" s="4" t="s">
        <v>772</v>
      </c>
      <c r="X189" s="2"/>
      <c r="Y189" s="439" t="s">
        <v>684</v>
      </c>
      <c r="Z189" s="440">
        <v>0.06</v>
      </c>
      <c r="AA189" s="481" t="s">
        <v>331</v>
      </c>
      <c r="AB189" s="442" t="s">
        <v>773</v>
      </c>
      <c r="AC189" s="463" t="str">
        <f t="shared" si="2"/>
        <v>千葉県鎌ケ谷市</v>
      </c>
      <c r="AD189" s="464">
        <v>10.42</v>
      </c>
      <c r="AE189" s="442">
        <v>10.33</v>
      </c>
      <c r="AF189" s="463">
        <v>10.27</v>
      </c>
      <c r="AG189" s="421"/>
      <c r="AH189" s="421"/>
    </row>
    <row r="190" spans="22:34">
      <c r="V190" s="4" t="s">
        <v>287</v>
      </c>
      <c r="W190" s="4" t="s">
        <v>774</v>
      </c>
      <c r="X190" s="2"/>
      <c r="Y190" s="439" t="s">
        <v>684</v>
      </c>
      <c r="Z190" s="440">
        <v>0.06</v>
      </c>
      <c r="AA190" s="481" t="s">
        <v>331</v>
      </c>
      <c r="AB190" s="442" t="s">
        <v>775</v>
      </c>
      <c r="AC190" s="463" t="str">
        <f t="shared" si="2"/>
        <v>千葉県白井市</v>
      </c>
      <c r="AD190" s="464">
        <v>10.42</v>
      </c>
      <c r="AE190" s="442">
        <v>10.33</v>
      </c>
      <c r="AF190" s="463">
        <v>10.27</v>
      </c>
      <c r="AG190" s="421"/>
      <c r="AH190" s="421"/>
    </row>
    <row r="191" spans="22:34">
      <c r="V191" s="4" t="s">
        <v>287</v>
      </c>
      <c r="W191" s="4" t="s">
        <v>776</v>
      </c>
      <c r="X191" s="2"/>
      <c r="Y191" s="439" t="s">
        <v>684</v>
      </c>
      <c r="Z191" s="440">
        <v>0.06</v>
      </c>
      <c r="AA191" s="481" t="s">
        <v>331</v>
      </c>
      <c r="AB191" s="442" t="s">
        <v>777</v>
      </c>
      <c r="AC191" s="463" t="str">
        <f t="shared" si="2"/>
        <v>千葉県酒々井町</v>
      </c>
      <c r="AD191" s="464">
        <v>10.42</v>
      </c>
      <c r="AE191" s="442">
        <v>10.33</v>
      </c>
      <c r="AF191" s="463">
        <v>10.27</v>
      </c>
      <c r="AG191" s="421"/>
      <c r="AH191" s="421"/>
    </row>
    <row r="192" spans="22:34">
      <c r="V192" s="4" t="s">
        <v>287</v>
      </c>
      <c r="W192" s="4" t="s">
        <v>778</v>
      </c>
      <c r="X192" s="2"/>
      <c r="Y192" s="439" t="s">
        <v>684</v>
      </c>
      <c r="Z192" s="440">
        <v>0.06</v>
      </c>
      <c r="AA192" s="481" t="s">
        <v>4</v>
      </c>
      <c r="AB192" s="442" t="s">
        <v>779</v>
      </c>
      <c r="AC192" s="463" t="str">
        <f t="shared" si="2"/>
        <v>東京都武蔵村山市</v>
      </c>
      <c r="AD192" s="464">
        <v>10.42</v>
      </c>
      <c r="AE192" s="442">
        <v>10.33</v>
      </c>
      <c r="AF192" s="463">
        <v>10.27</v>
      </c>
      <c r="AG192" s="421"/>
      <c r="AH192" s="421"/>
    </row>
    <row r="193" spans="22:34">
      <c r="V193" s="4" t="s">
        <v>287</v>
      </c>
      <c r="W193" s="4" t="s">
        <v>780</v>
      </c>
      <c r="X193" s="2"/>
      <c r="Y193" s="439" t="s">
        <v>684</v>
      </c>
      <c r="Z193" s="440">
        <v>0.06</v>
      </c>
      <c r="AA193" s="481" t="s">
        <v>4</v>
      </c>
      <c r="AB193" s="442" t="s">
        <v>781</v>
      </c>
      <c r="AC193" s="463" t="str">
        <f t="shared" si="2"/>
        <v>東京都羽村市</v>
      </c>
      <c r="AD193" s="464">
        <v>10.42</v>
      </c>
      <c r="AE193" s="442">
        <v>10.33</v>
      </c>
      <c r="AF193" s="463">
        <v>10.27</v>
      </c>
      <c r="AG193" s="421"/>
      <c r="AH193" s="421"/>
    </row>
    <row r="194" spans="22:34">
      <c r="V194" s="4" t="s">
        <v>287</v>
      </c>
      <c r="W194" s="4" t="s">
        <v>782</v>
      </c>
      <c r="X194" s="2"/>
      <c r="Y194" s="439" t="s">
        <v>684</v>
      </c>
      <c r="Z194" s="440">
        <v>0.06</v>
      </c>
      <c r="AA194" s="481" t="s">
        <v>4</v>
      </c>
      <c r="AB194" s="442" t="s">
        <v>783</v>
      </c>
      <c r="AC194" s="463" t="str">
        <f t="shared" si="2"/>
        <v>東京都瑞穂町</v>
      </c>
      <c r="AD194" s="464">
        <v>10.42</v>
      </c>
      <c r="AE194" s="442">
        <v>10.33</v>
      </c>
      <c r="AF194" s="463">
        <v>10.27</v>
      </c>
      <c r="AG194" s="421"/>
      <c r="AH194" s="421"/>
    </row>
    <row r="195" spans="22:34">
      <c r="V195" s="4" t="s">
        <v>287</v>
      </c>
      <c r="W195" s="4" t="s">
        <v>784</v>
      </c>
      <c r="X195" s="2"/>
      <c r="Y195" s="439" t="s">
        <v>684</v>
      </c>
      <c r="Z195" s="440">
        <v>0.06</v>
      </c>
      <c r="AA195" s="481" t="s">
        <v>4</v>
      </c>
      <c r="AB195" s="442" t="s">
        <v>785</v>
      </c>
      <c r="AC195" s="463" t="str">
        <f t="shared" si="2"/>
        <v>東京都奥多摩町</v>
      </c>
      <c r="AD195" s="464">
        <v>10.42</v>
      </c>
      <c r="AE195" s="442">
        <v>10.33</v>
      </c>
      <c r="AF195" s="463">
        <v>10.27</v>
      </c>
      <c r="AG195" s="421"/>
      <c r="AH195" s="421"/>
    </row>
    <row r="196" spans="22:34">
      <c r="V196" s="4" t="s">
        <v>287</v>
      </c>
      <c r="W196" s="4" t="s">
        <v>786</v>
      </c>
      <c r="X196" s="2"/>
      <c r="Y196" s="439" t="s">
        <v>684</v>
      </c>
      <c r="Z196" s="440">
        <v>0.06</v>
      </c>
      <c r="AA196" s="481" t="s">
        <v>4</v>
      </c>
      <c r="AB196" s="442" t="s">
        <v>787</v>
      </c>
      <c r="AC196" s="463" t="str">
        <f t="shared" ref="AC196:AC259" si="3">AA196&amp;AB196</f>
        <v>東京都檜原村</v>
      </c>
      <c r="AD196" s="464">
        <v>10.42</v>
      </c>
      <c r="AE196" s="442">
        <v>10.33</v>
      </c>
      <c r="AF196" s="463">
        <v>10.27</v>
      </c>
      <c r="AG196" s="421"/>
      <c r="AH196" s="421"/>
    </row>
    <row r="197" spans="22:34">
      <c r="V197" s="4" t="s">
        <v>287</v>
      </c>
      <c r="W197" s="4" t="s">
        <v>788</v>
      </c>
      <c r="X197" s="2"/>
      <c r="Y197" s="439" t="s">
        <v>684</v>
      </c>
      <c r="Z197" s="440">
        <v>0.06</v>
      </c>
      <c r="AA197" s="481" t="s">
        <v>338</v>
      </c>
      <c r="AB197" s="442" t="s">
        <v>789</v>
      </c>
      <c r="AC197" s="463" t="str">
        <f t="shared" si="3"/>
        <v>神奈川県秦野市</v>
      </c>
      <c r="AD197" s="464">
        <v>10.42</v>
      </c>
      <c r="AE197" s="442">
        <v>10.33</v>
      </c>
      <c r="AF197" s="463">
        <v>10.27</v>
      </c>
      <c r="AG197" s="421"/>
      <c r="AH197" s="421"/>
    </row>
    <row r="198" spans="22:34">
      <c r="V198" s="4" t="s">
        <v>287</v>
      </c>
      <c r="W198" s="4" t="s">
        <v>790</v>
      </c>
      <c r="X198" s="2"/>
      <c r="Y198" s="439" t="s">
        <v>684</v>
      </c>
      <c r="Z198" s="440">
        <v>0.06</v>
      </c>
      <c r="AA198" s="481" t="s">
        <v>338</v>
      </c>
      <c r="AB198" s="442" t="s">
        <v>791</v>
      </c>
      <c r="AC198" s="463" t="str">
        <f t="shared" si="3"/>
        <v>神奈川県大磯町</v>
      </c>
      <c r="AD198" s="464">
        <v>10.42</v>
      </c>
      <c r="AE198" s="442">
        <v>10.33</v>
      </c>
      <c r="AF198" s="463">
        <v>10.27</v>
      </c>
      <c r="AG198" s="421"/>
      <c r="AH198" s="421"/>
    </row>
    <row r="199" spans="22:34">
      <c r="V199" s="4" t="s">
        <v>287</v>
      </c>
      <c r="W199" s="4" t="s">
        <v>792</v>
      </c>
      <c r="X199" s="2"/>
      <c r="Y199" s="439" t="s">
        <v>684</v>
      </c>
      <c r="Z199" s="440">
        <v>0.06</v>
      </c>
      <c r="AA199" s="481" t="s">
        <v>338</v>
      </c>
      <c r="AB199" s="442" t="s">
        <v>793</v>
      </c>
      <c r="AC199" s="463" t="str">
        <f t="shared" si="3"/>
        <v>神奈川県二宮町</v>
      </c>
      <c r="AD199" s="464">
        <v>10.42</v>
      </c>
      <c r="AE199" s="442">
        <v>10.33</v>
      </c>
      <c r="AF199" s="463">
        <v>10.27</v>
      </c>
      <c r="AG199" s="421"/>
      <c r="AH199" s="421"/>
    </row>
    <row r="200" spans="22:34">
      <c r="V200" s="4" t="s">
        <v>287</v>
      </c>
      <c r="W200" s="4" t="s">
        <v>794</v>
      </c>
      <c r="X200" s="2"/>
      <c r="Y200" s="439" t="s">
        <v>684</v>
      </c>
      <c r="Z200" s="440">
        <v>0.06</v>
      </c>
      <c r="AA200" s="481" t="s">
        <v>338</v>
      </c>
      <c r="AB200" s="442" t="s">
        <v>795</v>
      </c>
      <c r="AC200" s="463" t="str">
        <f t="shared" si="3"/>
        <v>神奈川県中井町</v>
      </c>
      <c r="AD200" s="464">
        <v>10.42</v>
      </c>
      <c r="AE200" s="442">
        <v>10.33</v>
      </c>
      <c r="AF200" s="463">
        <v>10.27</v>
      </c>
      <c r="AG200" s="421"/>
      <c r="AH200" s="421"/>
    </row>
    <row r="201" spans="22:34">
      <c r="V201" s="4" t="s">
        <v>287</v>
      </c>
      <c r="W201" s="4" t="s">
        <v>796</v>
      </c>
      <c r="X201" s="2"/>
      <c r="Y201" s="439" t="s">
        <v>684</v>
      </c>
      <c r="Z201" s="440">
        <v>0.06</v>
      </c>
      <c r="AA201" s="481" t="s">
        <v>338</v>
      </c>
      <c r="AB201" s="442" t="s">
        <v>797</v>
      </c>
      <c r="AC201" s="463" t="str">
        <f t="shared" si="3"/>
        <v>神奈川県清川村</v>
      </c>
      <c r="AD201" s="464">
        <v>10.42</v>
      </c>
      <c r="AE201" s="442">
        <v>10.33</v>
      </c>
      <c r="AF201" s="463">
        <v>10.27</v>
      </c>
      <c r="AG201" s="421"/>
      <c r="AH201" s="421"/>
    </row>
    <row r="202" spans="22:34">
      <c r="V202" s="4" t="s">
        <v>287</v>
      </c>
      <c r="W202" s="4" t="s">
        <v>798</v>
      </c>
      <c r="X202" s="2"/>
      <c r="Y202" s="439" t="s">
        <v>684</v>
      </c>
      <c r="Z202" s="440">
        <v>0.06</v>
      </c>
      <c r="AA202" s="481" t="s">
        <v>368</v>
      </c>
      <c r="AB202" s="442" t="s">
        <v>799</v>
      </c>
      <c r="AC202" s="463" t="str">
        <f t="shared" si="3"/>
        <v>岐阜県岐阜市</v>
      </c>
      <c r="AD202" s="464">
        <v>10.42</v>
      </c>
      <c r="AE202" s="442">
        <v>10.33</v>
      </c>
      <c r="AF202" s="463">
        <v>10.27</v>
      </c>
      <c r="AG202" s="421"/>
      <c r="AH202" s="421"/>
    </row>
    <row r="203" spans="22:34">
      <c r="V203" s="4" t="s">
        <v>287</v>
      </c>
      <c r="W203" s="4" t="s">
        <v>800</v>
      </c>
      <c r="X203" s="2"/>
      <c r="Y203" s="439" t="s">
        <v>684</v>
      </c>
      <c r="Z203" s="440">
        <v>0.06</v>
      </c>
      <c r="AA203" s="481" t="s">
        <v>372</v>
      </c>
      <c r="AB203" s="442" t="s">
        <v>801</v>
      </c>
      <c r="AC203" s="463" t="str">
        <f t="shared" si="3"/>
        <v>静岡県静岡市</v>
      </c>
      <c r="AD203" s="464">
        <v>10.42</v>
      </c>
      <c r="AE203" s="442">
        <v>10.33</v>
      </c>
      <c r="AF203" s="463">
        <v>10.27</v>
      </c>
      <c r="AG203" s="421"/>
      <c r="AH203" s="421"/>
    </row>
    <row r="204" spans="22:34">
      <c r="V204" s="4" t="s">
        <v>287</v>
      </c>
      <c r="W204" s="4" t="s">
        <v>802</v>
      </c>
      <c r="X204" s="2"/>
      <c r="Y204" s="439" t="s">
        <v>684</v>
      </c>
      <c r="Z204" s="440">
        <v>0.06</v>
      </c>
      <c r="AA204" s="481" t="s">
        <v>376</v>
      </c>
      <c r="AB204" s="442" t="s">
        <v>803</v>
      </c>
      <c r="AC204" s="463" t="str">
        <f t="shared" si="3"/>
        <v>愛知県岡崎市</v>
      </c>
      <c r="AD204" s="464">
        <v>10.42</v>
      </c>
      <c r="AE204" s="442">
        <v>10.33</v>
      </c>
      <c r="AF204" s="463">
        <v>10.27</v>
      </c>
      <c r="AG204" s="421"/>
      <c r="AH204" s="421"/>
    </row>
    <row r="205" spans="22:34">
      <c r="V205" s="4" t="s">
        <v>287</v>
      </c>
      <c r="W205" s="4" t="s">
        <v>804</v>
      </c>
      <c r="X205" s="2"/>
      <c r="Y205" s="439" t="s">
        <v>684</v>
      </c>
      <c r="Z205" s="440">
        <v>0.06</v>
      </c>
      <c r="AA205" s="481" t="s">
        <v>376</v>
      </c>
      <c r="AB205" s="442" t="s">
        <v>805</v>
      </c>
      <c r="AC205" s="463" t="str">
        <f t="shared" si="3"/>
        <v>愛知県一宮市</v>
      </c>
      <c r="AD205" s="464">
        <v>10.42</v>
      </c>
      <c r="AE205" s="442">
        <v>10.33</v>
      </c>
      <c r="AF205" s="463">
        <v>10.27</v>
      </c>
      <c r="AG205" s="421"/>
      <c r="AH205" s="421"/>
    </row>
    <row r="206" spans="22:34">
      <c r="V206" s="4" t="s">
        <v>287</v>
      </c>
      <c r="W206" s="4" t="s">
        <v>806</v>
      </c>
      <c r="X206" s="2"/>
      <c r="Y206" s="439" t="s">
        <v>684</v>
      </c>
      <c r="Z206" s="440">
        <v>0.06</v>
      </c>
      <c r="AA206" s="481" t="s">
        <v>376</v>
      </c>
      <c r="AB206" s="442" t="s">
        <v>807</v>
      </c>
      <c r="AC206" s="463" t="str">
        <f t="shared" si="3"/>
        <v>愛知県瀬戸市</v>
      </c>
      <c r="AD206" s="464">
        <v>10.42</v>
      </c>
      <c r="AE206" s="442">
        <v>10.33</v>
      </c>
      <c r="AF206" s="463">
        <v>10.27</v>
      </c>
      <c r="AG206" s="421"/>
      <c r="AH206" s="421"/>
    </row>
    <row r="207" spans="22:34">
      <c r="V207" s="4" t="s">
        <v>287</v>
      </c>
      <c r="W207" s="4" t="s">
        <v>808</v>
      </c>
      <c r="X207" s="2"/>
      <c r="Y207" s="439" t="s">
        <v>684</v>
      </c>
      <c r="Z207" s="440">
        <v>0.06</v>
      </c>
      <c r="AA207" s="481" t="s">
        <v>376</v>
      </c>
      <c r="AB207" s="442" t="s">
        <v>809</v>
      </c>
      <c r="AC207" s="463" t="str">
        <f t="shared" si="3"/>
        <v>愛知県春日井市</v>
      </c>
      <c r="AD207" s="464">
        <v>10.42</v>
      </c>
      <c r="AE207" s="442">
        <v>10.33</v>
      </c>
      <c r="AF207" s="463">
        <v>10.27</v>
      </c>
      <c r="AG207" s="421"/>
      <c r="AH207" s="421"/>
    </row>
    <row r="208" spans="22:34">
      <c r="V208" s="4" t="s">
        <v>287</v>
      </c>
      <c r="W208" s="4" t="s">
        <v>810</v>
      </c>
      <c r="X208" s="2"/>
      <c r="Y208" s="439" t="s">
        <v>684</v>
      </c>
      <c r="Z208" s="440">
        <v>0.06</v>
      </c>
      <c r="AA208" s="481" t="s">
        <v>376</v>
      </c>
      <c r="AB208" s="442" t="s">
        <v>811</v>
      </c>
      <c r="AC208" s="463" t="str">
        <f t="shared" si="3"/>
        <v>愛知県津島市</v>
      </c>
      <c r="AD208" s="464">
        <v>10.42</v>
      </c>
      <c r="AE208" s="442">
        <v>10.33</v>
      </c>
      <c r="AF208" s="463">
        <v>10.27</v>
      </c>
      <c r="AG208" s="421"/>
      <c r="AH208" s="421"/>
    </row>
    <row r="209" spans="22:34">
      <c r="V209" s="4" t="s">
        <v>287</v>
      </c>
      <c r="W209" s="4" t="s">
        <v>812</v>
      </c>
      <c r="X209" s="2"/>
      <c r="Y209" s="439" t="s">
        <v>684</v>
      </c>
      <c r="Z209" s="440">
        <v>0.06</v>
      </c>
      <c r="AA209" s="481" t="s">
        <v>376</v>
      </c>
      <c r="AB209" s="442" t="s">
        <v>813</v>
      </c>
      <c r="AC209" s="463" t="str">
        <f t="shared" si="3"/>
        <v>愛知県碧南市</v>
      </c>
      <c r="AD209" s="464">
        <v>10.42</v>
      </c>
      <c r="AE209" s="442">
        <v>10.33</v>
      </c>
      <c r="AF209" s="463">
        <v>10.27</v>
      </c>
      <c r="AG209" s="421"/>
      <c r="AH209" s="421"/>
    </row>
    <row r="210" spans="22:34">
      <c r="V210" s="4" t="s">
        <v>287</v>
      </c>
      <c r="W210" s="4" t="s">
        <v>814</v>
      </c>
      <c r="X210" s="2"/>
      <c r="Y210" s="439" t="s">
        <v>684</v>
      </c>
      <c r="Z210" s="440">
        <v>0.06</v>
      </c>
      <c r="AA210" s="481" t="s">
        <v>376</v>
      </c>
      <c r="AB210" s="442" t="s">
        <v>815</v>
      </c>
      <c r="AC210" s="463" t="str">
        <f t="shared" si="3"/>
        <v>愛知県安城市</v>
      </c>
      <c r="AD210" s="464">
        <v>10.42</v>
      </c>
      <c r="AE210" s="442">
        <v>10.33</v>
      </c>
      <c r="AF210" s="463">
        <v>10.27</v>
      </c>
      <c r="AG210" s="421"/>
      <c r="AH210" s="421"/>
    </row>
    <row r="211" spans="22:34">
      <c r="V211" s="4" t="s">
        <v>287</v>
      </c>
      <c r="W211" s="4" t="s">
        <v>816</v>
      </c>
      <c r="X211" s="2"/>
      <c r="Y211" s="439" t="s">
        <v>684</v>
      </c>
      <c r="Z211" s="440">
        <v>0.06</v>
      </c>
      <c r="AA211" s="481" t="s">
        <v>376</v>
      </c>
      <c r="AB211" s="442" t="s">
        <v>817</v>
      </c>
      <c r="AC211" s="463" t="str">
        <f t="shared" si="3"/>
        <v>愛知県西尾市</v>
      </c>
      <c r="AD211" s="464">
        <v>10.42</v>
      </c>
      <c r="AE211" s="442">
        <v>10.33</v>
      </c>
      <c r="AF211" s="463">
        <v>10.27</v>
      </c>
      <c r="AG211" s="421"/>
      <c r="AH211" s="421"/>
    </row>
    <row r="212" spans="22:34">
      <c r="V212" s="4" t="s">
        <v>287</v>
      </c>
      <c r="W212" s="4" t="s">
        <v>818</v>
      </c>
      <c r="X212" s="2"/>
      <c r="Y212" s="439" t="s">
        <v>684</v>
      </c>
      <c r="Z212" s="440">
        <v>0.06</v>
      </c>
      <c r="AA212" s="481" t="s">
        <v>376</v>
      </c>
      <c r="AB212" s="442" t="s">
        <v>819</v>
      </c>
      <c r="AC212" s="463" t="str">
        <f t="shared" si="3"/>
        <v>愛知県犬山市</v>
      </c>
      <c r="AD212" s="464">
        <v>10.42</v>
      </c>
      <c r="AE212" s="442">
        <v>10.33</v>
      </c>
      <c r="AF212" s="463">
        <v>10.27</v>
      </c>
      <c r="AG212" s="421"/>
      <c r="AH212" s="421"/>
    </row>
    <row r="213" spans="22:34">
      <c r="V213" s="4" t="s">
        <v>287</v>
      </c>
      <c r="W213" s="4" t="s">
        <v>820</v>
      </c>
      <c r="X213" s="2"/>
      <c r="Y213" s="439" t="s">
        <v>684</v>
      </c>
      <c r="Z213" s="440">
        <v>0.06</v>
      </c>
      <c r="AA213" s="481" t="s">
        <v>376</v>
      </c>
      <c r="AB213" s="442" t="s">
        <v>821</v>
      </c>
      <c r="AC213" s="463" t="str">
        <f t="shared" si="3"/>
        <v>愛知県江南市</v>
      </c>
      <c r="AD213" s="464">
        <v>10.42</v>
      </c>
      <c r="AE213" s="442">
        <v>10.33</v>
      </c>
      <c r="AF213" s="463">
        <v>10.27</v>
      </c>
      <c r="AG213" s="421"/>
      <c r="AH213" s="421"/>
    </row>
    <row r="214" spans="22:34">
      <c r="V214" s="4" t="s">
        <v>287</v>
      </c>
      <c r="W214" s="4" t="s">
        <v>822</v>
      </c>
      <c r="X214" s="2"/>
      <c r="Y214" s="439" t="s">
        <v>684</v>
      </c>
      <c r="Z214" s="440">
        <v>0.06</v>
      </c>
      <c r="AA214" s="481" t="s">
        <v>376</v>
      </c>
      <c r="AB214" s="442" t="s">
        <v>823</v>
      </c>
      <c r="AC214" s="463" t="str">
        <f t="shared" si="3"/>
        <v>愛知県稲沢市</v>
      </c>
      <c r="AD214" s="464">
        <v>10.42</v>
      </c>
      <c r="AE214" s="442">
        <v>10.33</v>
      </c>
      <c r="AF214" s="463">
        <v>10.27</v>
      </c>
      <c r="AG214" s="421"/>
      <c r="AH214" s="421"/>
    </row>
    <row r="215" spans="22:34">
      <c r="V215" s="4" t="s">
        <v>287</v>
      </c>
      <c r="W215" s="4" t="s">
        <v>824</v>
      </c>
      <c r="X215" s="2"/>
      <c r="Y215" s="439" t="s">
        <v>684</v>
      </c>
      <c r="Z215" s="440">
        <v>0.06</v>
      </c>
      <c r="AA215" s="481" t="s">
        <v>376</v>
      </c>
      <c r="AB215" s="442" t="s">
        <v>825</v>
      </c>
      <c r="AC215" s="463" t="str">
        <f t="shared" si="3"/>
        <v>愛知県尾張旭市</v>
      </c>
      <c r="AD215" s="464">
        <v>10.42</v>
      </c>
      <c r="AE215" s="442">
        <v>10.33</v>
      </c>
      <c r="AF215" s="463">
        <v>10.27</v>
      </c>
      <c r="AG215" s="421"/>
      <c r="AH215" s="421"/>
    </row>
    <row r="216" spans="22:34">
      <c r="V216" s="4" t="s">
        <v>287</v>
      </c>
      <c r="W216" s="4" t="s">
        <v>826</v>
      </c>
      <c r="X216" s="2"/>
      <c r="Y216" s="439" t="s">
        <v>684</v>
      </c>
      <c r="Z216" s="440">
        <v>0.06</v>
      </c>
      <c r="AA216" s="481" t="s">
        <v>376</v>
      </c>
      <c r="AB216" s="442" t="s">
        <v>827</v>
      </c>
      <c r="AC216" s="463" t="str">
        <f t="shared" si="3"/>
        <v>愛知県岩倉市</v>
      </c>
      <c r="AD216" s="464">
        <v>10.42</v>
      </c>
      <c r="AE216" s="442">
        <v>10.33</v>
      </c>
      <c r="AF216" s="463">
        <v>10.27</v>
      </c>
      <c r="AG216" s="421"/>
      <c r="AH216" s="421"/>
    </row>
    <row r="217" spans="22:34">
      <c r="V217" s="4" t="s">
        <v>287</v>
      </c>
      <c r="W217" s="4" t="s">
        <v>828</v>
      </c>
      <c r="X217" s="2"/>
      <c r="Y217" s="439" t="s">
        <v>684</v>
      </c>
      <c r="Z217" s="440">
        <v>0.06</v>
      </c>
      <c r="AA217" s="481" t="s">
        <v>376</v>
      </c>
      <c r="AB217" s="442" t="s">
        <v>829</v>
      </c>
      <c r="AC217" s="463" t="str">
        <f t="shared" si="3"/>
        <v>愛知県日進市</v>
      </c>
      <c r="AD217" s="464">
        <v>10.42</v>
      </c>
      <c r="AE217" s="442">
        <v>10.33</v>
      </c>
      <c r="AF217" s="463">
        <v>10.27</v>
      </c>
      <c r="AG217" s="421"/>
      <c r="AH217" s="421"/>
    </row>
    <row r="218" spans="22:34">
      <c r="V218" s="4" t="s">
        <v>287</v>
      </c>
      <c r="W218" s="4" t="s">
        <v>830</v>
      </c>
      <c r="X218" s="2"/>
      <c r="Y218" s="439" t="s">
        <v>684</v>
      </c>
      <c r="Z218" s="440">
        <v>0.06</v>
      </c>
      <c r="AA218" s="481" t="s">
        <v>376</v>
      </c>
      <c r="AB218" s="442" t="s">
        <v>831</v>
      </c>
      <c r="AC218" s="463" t="str">
        <f t="shared" si="3"/>
        <v>愛知県愛西市</v>
      </c>
      <c r="AD218" s="464">
        <v>10.42</v>
      </c>
      <c r="AE218" s="442">
        <v>10.33</v>
      </c>
      <c r="AF218" s="463">
        <v>10.27</v>
      </c>
      <c r="AG218" s="421"/>
      <c r="AH218" s="421"/>
    </row>
    <row r="219" spans="22:34">
      <c r="V219" s="4" t="s">
        <v>287</v>
      </c>
      <c r="W219" s="4" t="s">
        <v>832</v>
      </c>
      <c r="X219" s="2"/>
      <c r="Y219" s="439" t="s">
        <v>684</v>
      </c>
      <c r="Z219" s="440">
        <v>0.06</v>
      </c>
      <c r="AA219" s="481" t="s">
        <v>376</v>
      </c>
      <c r="AB219" s="442" t="s">
        <v>833</v>
      </c>
      <c r="AC219" s="463" t="str">
        <f t="shared" si="3"/>
        <v>愛知県清須市</v>
      </c>
      <c r="AD219" s="464">
        <v>10.42</v>
      </c>
      <c r="AE219" s="442">
        <v>10.33</v>
      </c>
      <c r="AF219" s="463">
        <v>10.27</v>
      </c>
      <c r="AG219" s="421"/>
      <c r="AH219" s="421"/>
    </row>
    <row r="220" spans="22:34">
      <c r="V220" s="4" t="s">
        <v>287</v>
      </c>
      <c r="W220" s="4" t="s">
        <v>834</v>
      </c>
      <c r="X220" s="2"/>
      <c r="Y220" s="439" t="s">
        <v>684</v>
      </c>
      <c r="Z220" s="440">
        <v>0.06</v>
      </c>
      <c r="AA220" s="481" t="s">
        <v>376</v>
      </c>
      <c r="AB220" s="442" t="s">
        <v>835</v>
      </c>
      <c r="AC220" s="463" t="str">
        <f t="shared" si="3"/>
        <v>愛知県北名古屋市</v>
      </c>
      <c r="AD220" s="464">
        <v>10.42</v>
      </c>
      <c r="AE220" s="442">
        <v>10.33</v>
      </c>
      <c r="AF220" s="463">
        <v>10.27</v>
      </c>
      <c r="AG220" s="421"/>
      <c r="AH220" s="421"/>
    </row>
    <row r="221" spans="22:34">
      <c r="V221" s="4" t="s">
        <v>287</v>
      </c>
      <c r="W221" s="4" t="s">
        <v>836</v>
      </c>
      <c r="X221" s="2"/>
      <c r="Y221" s="439" t="s">
        <v>684</v>
      </c>
      <c r="Z221" s="440">
        <v>0.06</v>
      </c>
      <c r="AA221" s="481" t="s">
        <v>376</v>
      </c>
      <c r="AB221" s="442" t="s">
        <v>837</v>
      </c>
      <c r="AC221" s="463" t="str">
        <f t="shared" si="3"/>
        <v>愛知県弥富市</v>
      </c>
      <c r="AD221" s="464">
        <v>10.42</v>
      </c>
      <c r="AE221" s="442">
        <v>10.33</v>
      </c>
      <c r="AF221" s="463">
        <v>10.27</v>
      </c>
      <c r="AG221" s="421"/>
      <c r="AH221" s="421"/>
    </row>
    <row r="222" spans="22:34">
      <c r="V222" s="4" t="s">
        <v>287</v>
      </c>
      <c r="W222" s="4" t="s">
        <v>838</v>
      </c>
      <c r="X222" s="2"/>
      <c r="Y222" s="439" t="s">
        <v>684</v>
      </c>
      <c r="Z222" s="440">
        <v>0.06</v>
      </c>
      <c r="AA222" s="481" t="s">
        <v>376</v>
      </c>
      <c r="AB222" s="442" t="s">
        <v>839</v>
      </c>
      <c r="AC222" s="463" t="str">
        <f t="shared" si="3"/>
        <v>愛知県あま市</v>
      </c>
      <c r="AD222" s="464">
        <v>10.42</v>
      </c>
      <c r="AE222" s="442">
        <v>10.33</v>
      </c>
      <c r="AF222" s="463">
        <v>10.27</v>
      </c>
      <c r="AG222" s="421"/>
      <c r="AH222" s="421"/>
    </row>
    <row r="223" spans="22:34">
      <c r="V223" s="4" t="s">
        <v>287</v>
      </c>
      <c r="W223" s="4" t="s">
        <v>840</v>
      </c>
      <c r="X223" s="2"/>
      <c r="Y223" s="439" t="s">
        <v>684</v>
      </c>
      <c r="Z223" s="440">
        <v>0.06</v>
      </c>
      <c r="AA223" s="481" t="s">
        <v>376</v>
      </c>
      <c r="AB223" s="442" t="s">
        <v>841</v>
      </c>
      <c r="AC223" s="463" t="str">
        <f t="shared" si="3"/>
        <v>愛知県長久手市</v>
      </c>
      <c r="AD223" s="464">
        <v>10.42</v>
      </c>
      <c r="AE223" s="442">
        <v>10.33</v>
      </c>
      <c r="AF223" s="463">
        <v>10.27</v>
      </c>
      <c r="AG223" s="421"/>
      <c r="AH223" s="421"/>
    </row>
    <row r="224" spans="22:34">
      <c r="V224" s="4" t="s">
        <v>287</v>
      </c>
      <c r="W224" s="4" t="s">
        <v>842</v>
      </c>
      <c r="X224" s="2"/>
      <c r="Y224" s="439" t="s">
        <v>684</v>
      </c>
      <c r="Z224" s="440">
        <v>0.06</v>
      </c>
      <c r="AA224" s="481" t="s">
        <v>376</v>
      </c>
      <c r="AB224" s="442" t="s">
        <v>843</v>
      </c>
      <c r="AC224" s="463" t="str">
        <f t="shared" si="3"/>
        <v>愛知県東郷町</v>
      </c>
      <c r="AD224" s="464">
        <v>10.42</v>
      </c>
      <c r="AE224" s="442">
        <v>10.33</v>
      </c>
      <c r="AF224" s="463">
        <v>10.27</v>
      </c>
      <c r="AG224" s="421"/>
      <c r="AH224" s="421"/>
    </row>
    <row r="225" spans="22:34">
      <c r="V225" s="4" t="s">
        <v>287</v>
      </c>
      <c r="W225" s="4" t="s">
        <v>844</v>
      </c>
      <c r="X225" s="2"/>
      <c r="Y225" s="439" t="s">
        <v>684</v>
      </c>
      <c r="Z225" s="440">
        <v>0.06</v>
      </c>
      <c r="AA225" s="481" t="s">
        <v>376</v>
      </c>
      <c r="AB225" s="442" t="s">
        <v>845</v>
      </c>
      <c r="AC225" s="463" t="str">
        <f t="shared" si="3"/>
        <v>愛知県大治町</v>
      </c>
      <c r="AD225" s="464">
        <v>10.42</v>
      </c>
      <c r="AE225" s="442">
        <v>10.33</v>
      </c>
      <c r="AF225" s="463">
        <v>10.27</v>
      </c>
      <c r="AG225" s="421"/>
      <c r="AH225" s="421"/>
    </row>
    <row r="226" spans="22:34">
      <c r="V226" s="4" t="s">
        <v>287</v>
      </c>
      <c r="W226" s="4" t="s">
        <v>846</v>
      </c>
      <c r="X226" s="2"/>
      <c r="Y226" s="439" t="s">
        <v>684</v>
      </c>
      <c r="Z226" s="440">
        <v>0.06</v>
      </c>
      <c r="AA226" s="481" t="s">
        <v>376</v>
      </c>
      <c r="AB226" s="442" t="s">
        <v>847</v>
      </c>
      <c r="AC226" s="463" t="str">
        <f t="shared" si="3"/>
        <v>愛知県蟹江町</v>
      </c>
      <c r="AD226" s="464">
        <v>10.42</v>
      </c>
      <c r="AE226" s="442">
        <v>10.33</v>
      </c>
      <c r="AF226" s="463">
        <v>10.27</v>
      </c>
      <c r="AG226" s="421"/>
      <c r="AH226" s="421"/>
    </row>
    <row r="227" spans="22:34">
      <c r="V227" s="4" t="s">
        <v>287</v>
      </c>
      <c r="W227" s="4" t="s">
        <v>848</v>
      </c>
      <c r="X227" s="2"/>
      <c r="Y227" s="439" t="s">
        <v>684</v>
      </c>
      <c r="Z227" s="440">
        <v>0.06</v>
      </c>
      <c r="AA227" s="481" t="s">
        <v>376</v>
      </c>
      <c r="AB227" s="442" t="s">
        <v>849</v>
      </c>
      <c r="AC227" s="463" t="str">
        <f t="shared" si="3"/>
        <v>愛知県豊山町</v>
      </c>
      <c r="AD227" s="464">
        <v>10.42</v>
      </c>
      <c r="AE227" s="442">
        <v>10.33</v>
      </c>
      <c r="AF227" s="463">
        <v>10.27</v>
      </c>
      <c r="AG227" s="421"/>
      <c r="AH227" s="421"/>
    </row>
    <row r="228" spans="22:34">
      <c r="V228" s="4" t="s">
        <v>291</v>
      </c>
      <c r="W228" s="4" t="s">
        <v>850</v>
      </c>
      <c r="X228" s="2"/>
      <c r="Y228" s="439" t="s">
        <v>684</v>
      </c>
      <c r="Z228" s="440">
        <v>0.06</v>
      </c>
      <c r="AA228" s="481" t="s">
        <v>376</v>
      </c>
      <c r="AB228" s="442" t="s">
        <v>851</v>
      </c>
      <c r="AC228" s="463" t="str">
        <f t="shared" si="3"/>
        <v>愛知県飛島村</v>
      </c>
      <c r="AD228" s="464">
        <v>10.42</v>
      </c>
      <c r="AE228" s="442">
        <v>10.33</v>
      </c>
      <c r="AF228" s="463">
        <v>10.27</v>
      </c>
      <c r="AG228" s="421"/>
      <c r="AH228" s="421"/>
    </row>
    <row r="229" spans="22:34">
      <c r="V229" s="4" t="s">
        <v>291</v>
      </c>
      <c r="W229" s="4" t="s">
        <v>852</v>
      </c>
      <c r="X229" s="2"/>
      <c r="Y229" s="439" t="s">
        <v>684</v>
      </c>
      <c r="Z229" s="440">
        <v>0.06</v>
      </c>
      <c r="AA229" s="481" t="s">
        <v>380</v>
      </c>
      <c r="AB229" s="442" t="s">
        <v>853</v>
      </c>
      <c r="AC229" s="463" t="str">
        <f t="shared" si="3"/>
        <v>三重県津市</v>
      </c>
      <c r="AD229" s="464">
        <v>10.42</v>
      </c>
      <c r="AE229" s="442">
        <v>10.33</v>
      </c>
      <c r="AF229" s="463">
        <v>10.27</v>
      </c>
      <c r="AG229" s="421"/>
      <c r="AH229" s="421"/>
    </row>
    <row r="230" spans="22:34">
      <c r="V230" s="4" t="s">
        <v>291</v>
      </c>
      <c r="W230" s="4" t="s">
        <v>854</v>
      </c>
      <c r="X230" s="2"/>
      <c r="Y230" s="439" t="s">
        <v>684</v>
      </c>
      <c r="Z230" s="440">
        <v>0.06</v>
      </c>
      <c r="AA230" s="481" t="s">
        <v>380</v>
      </c>
      <c r="AB230" s="442" t="s">
        <v>855</v>
      </c>
      <c r="AC230" s="463" t="str">
        <f t="shared" si="3"/>
        <v>三重県四日市市</v>
      </c>
      <c r="AD230" s="464">
        <v>10.42</v>
      </c>
      <c r="AE230" s="442">
        <v>10.33</v>
      </c>
      <c r="AF230" s="463">
        <v>10.27</v>
      </c>
      <c r="AG230" s="421"/>
      <c r="AH230" s="421"/>
    </row>
    <row r="231" spans="22:34">
      <c r="V231" s="4" t="s">
        <v>291</v>
      </c>
      <c r="W231" s="4" t="s">
        <v>856</v>
      </c>
      <c r="X231" s="2"/>
      <c r="Y231" s="439" t="s">
        <v>684</v>
      </c>
      <c r="Z231" s="440">
        <v>0.06</v>
      </c>
      <c r="AA231" s="481" t="s">
        <v>380</v>
      </c>
      <c r="AB231" s="442" t="s">
        <v>857</v>
      </c>
      <c r="AC231" s="463" t="str">
        <f t="shared" si="3"/>
        <v>三重県桑名市</v>
      </c>
      <c r="AD231" s="464">
        <v>10.42</v>
      </c>
      <c r="AE231" s="442">
        <v>10.33</v>
      </c>
      <c r="AF231" s="463">
        <v>10.27</v>
      </c>
      <c r="AG231" s="421"/>
      <c r="AH231" s="421"/>
    </row>
    <row r="232" spans="22:34">
      <c r="V232" s="4" t="s">
        <v>291</v>
      </c>
      <c r="W232" s="4" t="s">
        <v>858</v>
      </c>
      <c r="X232" s="2"/>
      <c r="Y232" s="439" t="s">
        <v>684</v>
      </c>
      <c r="Z232" s="440">
        <v>0.06</v>
      </c>
      <c r="AA232" s="481" t="s">
        <v>380</v>
      </c>
      <c r="AB232" s="442" t="s">
        <v>859</v>
      </c>
      <c r="AC232" s="463" t="str">
        <f t="shared" si="3"/>
        <v>三重県鈴鹿市</v>
      </c>
      <c r="AD232" s="464">
        <v>10.42</v>
      </c>
      <c r="AE232" s="442">
        <v>10.33</v>
      </c>
      <c r="AF232" s="463">
        <v>10.27</v>
      </c>
      <c r="AG232" s="421"/>
      <c r="AH232" s="421"/>
    </row>
    <row r="233" spans="22:34">
      <c r="V233" s="4" t="s">
        <v>291</v>
      </c>
      <c r="W233" s="4" t="s">
        <v>860</v>
      </c>
      <c r="X233" s="2"/>
      <c r="Y233" s="439" t="s">
        <v>684</v>
      </c>
      <c r="Z233" s="440">
        <v>0.06</v>
      </c>
      <c r="AA233" s="481" t="s">
        <v>380</v>
      </c>
      <c r="AB233" s="442" t="s">
        <v>861</v>
      </c>
      <c r="AC233" s="463" t="str">
        <f t="shared" si="3"/>
        <v>三重県亀山市</v>
      </c>
      <c r="AD233" s="464">
        <v>10.42</v>
      </c>
      <c r="AE233" s="442">
        <v>10.33</v>
      </c>
      <c r="AF233" s="463">
        <v>10.27</v>
      </c>
      <c r="AG233" s="421"/>
      <c r="AH233" s="421"/>
    </row>
    <row r="234" spans="22:34">
      <c r="V234" s="4" t="s">
        <v>291</v>
      </c>
      <c r="W234" s="4" t="s">
        <v>862</v>
      </c>
      <c r="X234" s="2"/>
      <c r="Y234" s="439" t="s">
        <v>684</v>
      </c>
      <c r="Z234" s="440">
        <v>0.06</v>
      </c>
      <c r="AA234" s="481" t="s">
        <v>385</v>
      </c>
      <c r="AB234" s="442" t="s">
        <v>863</v>
      </c>
      <c r="AC234" s="463" t="str">
        <f t="shared" si="3"/>
        <v>滋賀県彦根市</v>
      </c>
      <c r="AD234" s="464">
        <v>10.42</v>
      </c>
      <c r="AE234" s="442">
        <v>10.33</v>
      </c>
      <c r="AF234" s="463">
        <v>10.27</v>
      </c>
      <c r="AG234" s="421"/>
      <c r="AH234" s="421"/>
    </row>
    <row r="235" spans="22:34">
      <c r="V235" s="4" t="s">
        <v>291</v>
      </c>
      <c r="W235" s="4" t="s">
        <v>864</v>
      </c>
      <c r="X235" s="2"/>
      <c r="Y235" s="439" t="s">
        <v>684</v>
      </c>
      <c r="Z235" s="440">
        <v>0.06</v>
      </c>
      <c r="AA235" s="481" t="s">
        <v>385</v>
      </c>
      <c r="AB235" s="442" t="s">
        <v>865</v>
      </c>
      <c r="AC235" s="463" t="str">
        <f t="shared" si="3"/>
        <v>滋賀県守山市</v>
      </c>
      <c r="AD235" s="464">
        <v>10.42</v>
      </c>
      <c r="AE235" s="442">
        <v>10.33</v>
      </c>
      <c r="AF235" s="463">
        <v>10.27</v>
      </c>
      <c r="AG235" s="421"/>
      <c r="AH235" s="421"/>
    </row>
    <row r="236" spans="22:34">
      <c r="V236" s="4" t="s">
        <v>291</v>
      </c>
      <c r="W236" s="4" t="s">
        <v>866</v>
      </c>
      <c r="X236" s="2"/>
      <c r="Y236" s="439" t="s">
        <v>684</v>
      </c>
      <c r="Z236" s="440">
        <v>0.06</v>
      </c>
      <c r="AA236" s="481" t="s">
        <v>385</v>
      </c>
      <c r="AB236" s="442" t="s">
        <v>867</v>
      </c>
      <c r="AC236" s="463" t="str">
        <f t="shared" si="3"/>
        <v>滋賀県甲賀市</v>
      </c>
      <c r="AD236" s="464">
        <v>10.42</v>
      </c>
      <c r="AE236" s="442">
        <v>10.33</v>
      </c>
      <c r="AF236" s="463">
        <v>10.27</v>
      </c>
      <c r="AG236" s="421"/>
      <c r="AH236" s="421"/>
    </row>
    <row r="237" spans="22:34">
      <c r="V237" s="4" t="s">
        <v>291</v>
      </c>
      <c r="W237" s="4" t="s">
        <v>868</v>
      </c>
      <c r="X237" s="2"/>
      <c r="Y237" s="439" t="s">
        <v>684</v>
      </c>
      <c r="Z237" s="440">
        <v>0.06</v>
      </c>
      <c r="AA237" s="481" t="s">
        <v>389</v>
      </c>
      <c r="AB237" s="442" t="s">
        <v>869</v>
      </c>
      <c r="AC237" s="463" t="str">
        <f t="shared" si="3"/>
        <v>京都府宇治市</v>
      </c>
      <c r="AD237" s="464">
        <v>10.42</v>
      </c>
      <c r="AE237" s="442">
        <v>10.33</v>
      </c>
      <c r="AF237" s="463">
        <v>10.27</v>
      </c>
      <c r="AG237" s="421"/>
      <c r="AH237" s="421"/>
    </row>
    <row r="238" spans="22:34">
      <c r="V238" s="4" t="s">
        <v>291</v>
      </c>
      <c r="W238" s="4" t="s">
        <v>870</v>
      </c>
      <c r="X238" s="2"/>
      <c r="Y238" s="439" t="s">
        <v>684</v>
      </c>
      <c r="Z238" s="440">
        <v>0.06</v>
      </c>
      <c r="AA238" s="481" t="s">
        <v>389</v>
      </c>
      <c r="AB238" s="442" t="s">
        <v>871</v>
      </c>
      <c r="AC238" s="463" t="str">
        <f t="shared" si="3"/>
        <v>京都府亀岡市</v>
      </c>
      <c r="AD238" s="464">
        <v>10.42</v>
      </c>
      <c r="AE238" s="442">
        <v>10.33</v>
      </c>
      <c r="AF238" s="463">
        <v>10.27</v>
      </c>
      <c r="AG238" s="421"/>
      <c r="AH238" s="421"/>
    </row>
    <row r="239" spans="22:34">
      <c r="V239" s="4" t="s">
        <v>291</v>
      </c>
      <c r="W239" s="4" t="s">
        <v>872</v>
      </c>
      <c r="X239" s="2"/>
      <c r="Y239" s="439" t="s">
        <v>684</v>
      </c>
      <c r="Z239" s="440">
        <v>0.06</v>
      </c>
      <c r="AA239" s="481" t="s">
        <v>389</v>
      </c>
      <c r="AB239" s="442" t="s">
        <v>873</v>
      </c>
      <c r="AC239" s="463" t="str">
        <f t="shared" si="3"/>
        <v>京都府城陽市</v>
      </c>
      <c r="AD239" s="464">
        <v>10.42</v>
      </c>
      <c r="AE239" s="442">
        <v>10.33</v>
      </c>
      <c r="AF239" s="463">
        <v>10.27</v>
      </c>
      <c r="AG239" s="421"/>
      <c r="AH239" s="421"/>
    </row>
    <row r="240" spans="22:34">
      <c r="V240" s="4" t="s">
        <v>291</v>
      </c>
      <c r="W240" s="4" t="s">
        <v>874</v>
      </c>
      <c r="X240" s="2"/>
      <c r="Y240" s="439" t="s">
        <v>684</v>
      </c>
      <c r="Z240" s="440">
        <v>0.06</v>
      </c>
      <c r="AA240" s="481" t="s">
        <v>389</v>
      </c>
      <c r="AB240" s="442" t="s">
        <v>875</v>
      </c>
      <c r="AC240" s="463" t="str">
        <f t="shared" si="3"/>
        <v>京都府向日市</v>
      </c>
      <c r="AD240" s="464">
        <v>10.42</v>
      </c>
      <c r="AE240" s="442">
        <v>10.33</v>
      </c>
      <c r="AF240" s="463">
        <v>10.27</v>
      </c>
      <c r="AG240" s="421"/>
      <c r="AH240" s="421"/>
    </row>
    <row r="241" spans="22:34">
      <c r="V241" s="4" t="s">
        <v>291</v>
      </c>
      <c r="W241" s="4" t="s">
        <v>876</v>
      </c>
      <c r="X241" s="2"/>
      <c r="Y241" s="439" t="s">
        <v>684</v>
      </c>
      <c r="Z241" s="440">
        <v>0.06</v>
      </c>
      <c r="AA241" s="481" t="s">
        <v>389</v>
      </c>
      <c r="AB241" s="442" t="s">
        <v>877</v>
      </c>
      <c r="AC241" s="463" t="str">
        <f t="shared" si="3"/>
        <v>京都府八幡市</v>
      </c>
      <c r="AD241" s="464">
        <v>10.42</v>
      </c>
      <c r="AE241" s="442">
        <v>10.33</v>
      </c>
      <c r="AF241" s="463">
        <v>10.27</v>
      </c>
      <c r="AG241" s="421"/>
      <c r="AH241" s="421"/>
    </row>
    <row r="242" spans="22:34">
      <c r="V242" s="4" t="s">
        <v>291</v>
      </c>
      <c r="W242" s="4" t="s">
        <v>878</v>
      </c>
      <c r="X242" s="2"/>
      <c r="Y242" s="439" t="s">
        <v>684</v>
      </c>
      <c r="Z242" s="440">
        <v>0.06</v>
      </c>
      <c r="AA242" s="481" t="s">
        <v>389</v>
      </c>
      <c r="AB242" s="442" t="s">
        <v>879</v>
      </c>
      <c r="AC242" s="463" t="str">
        <f t="shared" si="3"/>
        <v>京都府京田辺市</v>
      </c>
      <c r="AD242" s="464">
        <v>10.42</v>
      </c>
      <c r="AE242" s="442">
        <v>10.33</v>
      </c>
      <c r="AF242" s="463">
        <v>10.27</v>
      </c>
      <c r="AG242" s="421"/>
      <c r="AH242" s="421"/>
    </row>
    <row r="243" spans="22:34">
      <c r="V243" s="4" t="s">
        <v>291</v>
      </c>
      <c r="W243" s="4" t="s">
        <v>880</v>
      </c>
      <c r="X243" s="2"/>
      <c r="Y243" s="439" t="s">
        <v>684</v>
      </c>
      <c r="Z243" s="440">
        <v>0.06</v>
      </c>
      <c r="AA243" s="481" t="s">
        <v>389</v>
      </c>
      <c r="AB243" s="442" t="s">
        <v>881</v>
      </c>
      <c r="AC243" s="463" t="str">
        <f t="shared" si="3"/>
        <v>京都府木津川市</v>
      </c>
      <c r="AD243" s="464">
        <v>10.42</v>
      </c>
      <c r="AE243" s="442">
        <v>10.33</v>
      </c>
      <c r="AF243" s="463">
        <v>10.27</v>
      </c>
      <c r="AG243" s="421"/>
      <c r="AH243" s="421"/>
    </row>
    <row r="244" spans="22:34">
      <c r="V244" s="4" t="s">
        <v>291</v>
      </c>
      <c r="W244" s="4" t="s">
        <v>882</v>
      </c>
      <c r="X244" s="2"/>
      <c r="Y244" s="439" t="s">
        <v>684</v>
      </c>
      <c r="Z244" s="440">
        <v>0.06</v>
      </c>
      <c r="AA244" s="481" t="s">
        <v>389</v>
      </c>
      <c r="AB244" s="442" t="s">
        <v>883</v>
      </c>
      <c r="AC244" s="463" t="str">
        <f t="shared" si="3"/>
        <v>京都府大山崎町</v>
      </c>
      <c r="AD244" s="464">
        <v>10.42</v>
      </c>
      <c r="AE244" s="442">
        <v>10.33</v>
      </c>
      <c r="AF244" s="463">
        <v>10.27</v>
      </c>
      <c r="AG244" s="421"/>
      <c r="AH244" s="421"/>
    </row>
    <row r="245" spans="22:34">
      <c r="V245" s="4" t="s">
        <v>291</v>
      </c>
      <c r="W245" s="4" t="s">
        <v>884</v>
      </c>
      <c r="X245" s="2"/>
      <c r="Y245" s="439" t="s">
        <v>684</v>
      </c>
      <c r="Z245" s="440">
        <v>0.06</v>
      </c>
      <c r="AA245" s="481" t="s">
        <v>389</v>
      </c>
      <c r="AB245" s="442" t="s">
        <v>885</v>
      </c>
      <c r="AC245" s="463" t="str">
        <f t="shared" si="3"/>
        <v>京都府精華町</v>
      </c>
      <c r="AD245" s="464">
        <v>10.42</v>
      </c>
      <c r="AE245" s="442">
        <v>10.33</v>
      </c>
      <c r="AF245" s="463">
        <v>10.27</v>
      </c>
      <c r="AG245" s="421"/>
      <c r="AH245" s="421"/>
    </row>
    <row r="246" spans="22:34">
      <c r="V246" s="4" t="s">
        <v>291</v>
      </c>
      <c r="W246" s="4" t="s">
        <v>886</v>
      </c>
      <c r="X246" s="2"/>
      <c r="Y246" s="439" t="s">
        <v>684</v>
      </c>
      <c r="Z246" s="440">
        <v>0.06</v>
      </c>
      <c r="AA246" s="481" t="s">
        <v>393</v>
      </c>
      <c r="AB246" s="442" t="s">
        <v>887</v>
      </c>
      <c r="AC246" s="463" t="str">
        <f t="shared" si="3"/>
        <v>大阪府岸和田市</v>
      </c>
      <c r="AD246" s="464">
        <v>10.42</v>
      </c>
      <c r="AE246" s="442">
        <v>10.33</v>
      </c>
      <c r="AF246" s="463">
        <v>10.27</v>
      </c>
      <c r="AG246" s="421"/>
      <c r="AH246" s="421"/>
    </row>
    <row r="247" spans="22:34">
      <c r="V247" s="4" t="s">
        <v>291</v>
      </c>
      <c r="W247" s="4" t="s">
        <v>888</v>
      </c>
      <c r="X247" s="2"/>
      <c r="Y247" s="439" t="s">
        <v>684</v>
      </c>
      <c r="Z247" s="440">
        <v>0.06</v>
      </c>
      <c r="AA247" s="481" t="s">
        <v>393</v>
      </c>
      <c r="AB247" s="442" t="s">
        <v>889</v>
      </c>
      <c r="AC247" s="463" t="str">
        <f t="shared" si="3"/>
        <v>大阪府泉大津市</v>
      </c>
      <c r="AD247" s="464">
        <v>10.42</v>
      </c>
      <c r="AE247" s="442">
        <v>10.33</v>
      </c>
      <c r="AF247" s="463">
        <v>10.27</v>
      </c>
      <c r="AG247" s="421"/>
      <c r="AH247" s="421"/>
    </row>
    <row r="248" spans="22:34">
      <c r="V248" s="4" t="s">
        <v>291</v>
      </c>
      <c r="W248" s="4" t="s">
        <v>890</v>
      </c>
      <c r="X248" s="2"/>
      <c r="Y248" s="439" t="s">
        <v>684</v>
      </c>
      <c r="Z248" s="440">
        <v>0.06</v>
      </c>
      <c r="AA248" s="481" t="s">
        <v>393</v>
      </c>
      <c r="AB248" s="442" t="s">
        <v>891</v>
      </c>
      <c r="AC248" s="463" t="str">
        <f t="shared" si="3"/>
        <v>大阪府貝塚市</v>
      </c>
      <c r="AD248" s="464">
        <v>10.42</v>
      </c>
      <c r="AE248" s="442">
        <v>10.33</v>
      </c>
      <c r="AF248" s="463">
        <v>10.27</v>
      </c>
      <c r="AG248" s="421"/>
      <c r="AH248" s="421"/>
    </row>
    <row r="249" spans="22:34">
      <c r="V249" s="4" t="s">
        <v>291</v>
      </c>
      <c r="W249" s="4" t="s">
        <v>892</v>
      </c>
      <c r="X249" s="2"/>
      <c r="Y249" s="439" t="s">
        <v>684</v>
      </c>
      <c r="Z249" s="440">
        <v>0.06</v>
      </c>
      <c r="AA249" s="481" t="s">
        <v>393</v>
      </c>
      <c r="AB249" s="442" t="s">
        <v>893</v>
      </c>
      <c r="AC249" s="463" t="str">
        <f t="shared" si="3"/>
        <v>大阪府泉佐野市</v>
      </c>
      <c r="AD249" s="464">
        <v>10.42</v>
      </c>
      <c r="AE249" s="442">
        <v>10.33</v>
      </c>
      <c r="AF249" s="463">
        <v>10.27</v>
      </c>
      <c r="AG249" s="421"/>
      <c r="AH249" s="421"/>
    </row>
    <row r="250" spans="22:34">
      <c r="V250" s="4" t="s">
        <v>291</v>
      </c>
      <c r="W250" s="4" t="s">
        <v>894</v>
      </c>
      <c r="X250" s="2"/>
      <c r="Y250" s="439" t="s">
        <v>684</v>
      </c>
      <c r="Z250" s="440">
        <v>0.06</v>
      </c>
      <c r="AA250" s="481" t="s">
        <v>393</v>
      </c>
      <c r="AB250" s="442" t="s">
        <v>895</v>
      </c>
      <c r="AC250" s="463" t="str">
        <f t="shared" si="3"/>
        <v>大阪府富田林市</v>
      </c>
      <c r="AD250" s="464">
        <v>10.42</v>
      </c>
      <c r="AE250" s="442">
        <v>10.33</v>
      </c>
      <c r="AF250" s="463">
        <v>10.27</v>
      </c>
      <c r="AG250" s="421"/>
      <c r="AH250" s="421"/>
    </row>
    <row r="251" spans="22:34">
      <c r="V251" s="4" t="s">
        <v>291</v>
      </c>
      <c r="W251" s="4" t="s">
        <v>896</v>
      </c>
      <c r="X251" s="2"/>
      <c r="Y251" s="439" t="s">
        <v>684</v>
      </c>
      <c r="Z251" s="440">
        <v>0.06</v>
      </c>
      <c r="AA251" s="481" t="s">
        <v>393</v>
      </c>
      <c r="AB251" s="442" t="s">
        <v>897</v>
      </c>
      <c r="AC251" s="463" t="str">
        <f t="shared" si="3"/>
        <v>大阪府河内長野市</v>
      </c>
      <c r="AD251" s="464">
        <v>10.42</v>
      </c>
      <c r="AE251" s="442">
        <v>10.33</v>
      </c>
      <c r="AF251" s="463">
        <v>10.27</v>
      </c>
      <c r="AG251" s="421"/>
      <c r="AH251" s="421"/>
    </row>
    <row r="252" spans="22:34">
      <c r="V252" s="4" t="s">
        <v>291</v>
      </c>
      <c r="W252" s="4" t="s">
        <v>898</v>
      </c>
      <c r="X252" s="2"/>
      <c r="Y252" s="439" t="s">
        <v>684</v>
      </c>
      <c r="Z252" s="440">
        <v>0.06</v>
      </c>
      <c r="AA252" s="481" t="s">
        <v>393</v>
      </c>
      <c r="AB252" s="442" t="s">
        <v>899</v>
      </c>
      <c r="AC252" s="463" t="str">
        <f t="shared" si="3"/>
        <v>大阪府和泉市</v>
      </c>
      <c r="AD252" s="464">
        <v>10.42</v>
      </c>
      <c r="AE252" s="442">
        <v>10.33</v>
      </c>
      <c r="AF252" s="463">
        <v>10.27</v>
      </c>
      <c r="AG252" s="421"/>
      <c r="AH252" s="421"/>
    </row>
    <row r="253" spans="22:34">
      <c r="V253" s="4" t="s">
        <v>291</v>
      </c>
      <c r="W253" s="4" t="s">
        <v>900</v>
      </c>
      <c r="X253" s="2"/>
      <c r="Y253" s="439" t="s">
        <v>684</v>
      </c>
      <c r="Z253" s="440">
        <v>0.06</v>
      </c>
      <c r="AA253" s="481" t="s">
        <v>393</v>
      </c>
      <c r="AB253" s="442" t="s">
        <v>901</v>
      </c>
      <c r="AC253" s="463" t="str">
        <f t="shared" si="3"/>
        <v>大阪府柏原市</v>
      </c>
      <c r="AD253" s="464">
        <v>10.42</v>
      </c>
      <c r="AE253" s="442">
        <v>10.33</v>
      </c>
      <c r="AF253" s="463">
        <v>10.27</v>
      </c>
      <c r="AG253" s="421"/>
      <c r="AH253" s="421"/>
    </row>
    <row r="254" spans="22:34">
      <c r="V254" s="4" t="s">
        <v>291</v>
      </c>
      <c r="W254" s="4" t="s">
        <v>902</v>
      </c>
      <c r="X254" s="2"/>
      <c r="Y254" s="439" t="s">
        <v>684</v>
      </c>
      <c r="Z254" s="440">
        <v>0.06</v>
      </c>
      <c r="AA254" s="481" t="s">
        <v>393</v>
      </c>
      <c r="AB254" s="442" t="s">
        <v>903</v>
      </c>
      <c r="AC254" s="463" t="str">
        <f t="shared" si="3"/>
        <v>大阪府羽曳野市</v>
      </c>
      <c r="AD254" s="464">
        <v>10.42</v>
      </c>
      <c r="AE254" s="442">
        <v>10.33</v>
      </c>
      <c r="AF254" s="463">
        <v>10.27</v>
      </c>
      <c r="AG254" s="421"/>
      <c r="AH254" s="421"/>
    </row>
    <row r="255" spans="22:34">
      <c r="V255" s="4" t="s">
        <v>291</v>
      </c>
      <c r="W255" s="4" t="s">
        <v>904</v>
      </c>
      <c r="X255" s="2"/>
      <c r="Y255" s="439" t="s">
        <v>684</v>
      </c>
      <c r="Z255" s="440">
        <v>0.06</v>
      </c>
      <c r="AA255" s="481" t="s">
        <v>393</v>
      </c>
      <c r="AB255" s="442" t="s">
        <v>905</v>
      </c>
      <c r="AC255" s="463" t="str">
        <f t="shared" si="3"/>
        <v>大阪府藤井寺市</v>
      </c>
      <c r="AD255" s="464">
        <v>10.42</v>
      </c>
      <c r="AE255" s="442">
        <v>10.33</v>
      </c>
      <c r="AF255" s="463">
        <v>10.27</v>
      </c>
      <c r="AG255" s="421"/>
      <c r="AH255" s="421"/>
    </row>
    <row r="256" spans="22:34">
      <c r="V256" s="4" t="s">
        <v>291</v>
      </c>
      <c r="W256" s="4" t="s">
        <v>906</v>
      </c>
      <c r="X256" s="2"/>
      <c r="Y256" s="439" t="s">
        <v>684</v>
      </c>
      <c r="Z256" s="440">
        <v>0.06</v>
      </c>
      <c r="AA256" s="481" t="s">
        <v>393</v>
      </c>
      <c r="AB256" s="442" t="s">
        <v>907</v>
      </c>
      <c r="AC256" s="463" t="str">
        <f t="shared" si="3"/>
        <v>大阪府泉南市</v>
      </c>
      <c r="AD256" s="464">
        <v>10.42</v>
      </c>
      <c r="AE256" s="442">
        <v>10.33</v>
      </c>
      <c r="AF256" s="463">
        <v>10.27</v>
      </c>
      <c r="AG256" s="421"/>
      <c r="AH256" s="421"/>
    </row>
    <row r="257" spans="22:34">
      <c r="V257" s="4" t="s">
        <v>291</v>
      </c>
      <c r="W257" s="4" t="s">
        <v>908</v>
      </c>
      <c r="X257" s="2"/>
      <c r="Y257" s="439" t="s">
        <v>684</v>
      </c>
      <c r="Z257" s="440">
        <v>0.06</v>
      </c>
      <c r="AA257" s="481" t="s">
        <v>393</v>
      </c>
      <c r="AB257" s="442" t="s">
        <v>909</v>
      </c>
      <c r="AC257" s="463" t="str">
        <f t="shared" si="3"/>
        <v>大阪府大阪狭山市</v>
      </c>
      <c r="AD257" s="464">
        <v>10.42</v>
      </c>
      <c r="AE257" s="442">
        <v>10.33</v>
      </c>
      <c r="AF257" s="463">
        <v>10.27</v>
      </c>
      <c r="AG257" s="421"/>
      <c r="AH257" s="421"/>
    </row>
    <row r="258" spans="22:34">
      <c r="V258" s="4" t="s">
        <v>291</v>
      </c>
      <c r="W258" s="4" t="s">
        <v>910</v>
      </c>
      <c r="X258" s="2"/>
      <c r="Y258" s="439" t="s">
        <v>684</v>
      </c>
      <c r="Z258" s="440">
        <v>0.06</v>
      </c>
      <c r="AA258" s="481" t="s">
        <v>393</v>
      </c>
      <c r="AB258" s="442" t="s">
        <v>911</v>
      </c>
      <c r="AC258" s="463" t="str">
        <f t="shared" si="3"/>
        <v>大阪府阪南市</v>
      </c>
      <c r="AD258" s="464">
        <v>10.42</v>
      </c>
      <c r="AE258" s="442">
        <v>10.33</v>
      </c>
      <c r="AF258" s="463">
        <v>10.27</v>
      </c>
      <c r="AG258" s="421"/>
      <c r="AH258" s="421"/>
    </row>
    <row r="259" spans="22:34">
      <c r="V259" s="4" t="s">
        <v>291</v>
      </c>
      <c r="W259" s="4" t="s">
        <v>912</v>
      </c>
      <c r="X259" s="2"/>
      <c r="Y259" s="439" t="s">
        <v>684</v>
      </c>
      <c r="Z259" s="440">
        <v>0.06</v>
      </c>
      <c r="AA259" s="481" t="s">
        <v>393</v>
      </c>
      <c r="AB259" s="442" t="s">
        <v>913</v>
      </c>
      <c r="AC259" s="463" t="str">
        <f t="shared" si="3"/>
        <v>大阪府島本町</v>
      </c>
      <c r="AD259" s="464">
        <v>10.42</v>
      </c>
      <c r="AE259" s="442">
        <v>10.33</v>
      </c>
      <c r="AF259" s="463">
        <v>10.27</v>
      </c>
      <c r="AG259" s="421"/>
      <c r="AH259" s="421"/>
    </row>
    <row r="260" spans="22:34">
      <c r="V260" s="4" t="s">
        <v>291</v>
      </c>
      <c r="W260" s="4" t="s">
        <v>914</v>
      </c>
      <c r="X260" s="2"/>
      <c r="Y260" s="439" t="s">
        <v>684</v>
      </c>
      <c r="Z260" s="440">
        <v>0.06</v>
      </c>
      <c r="AA260" s="481" t="s">
        <v>393</v>
      </c>
      <c r="AB260" s="442" t="s">
        <v>915</v>
      </c>
      <c r="AC260" s="463" t="str">
        <f t="shared" ref="AC260:AC323" si="4">AA260&amp;AB260</f>
        <v>大阪府豊能町</v>
      </c>
      <c r="AD260" s="464">
        <v>10.42</v>
      </c>
      <c r="AE260" s="442">
        <v>10.33</v>
      </c>
      <c r="AF260" s="463">
        <v>10.27</v>
      </c>
      <c r="AG260" s="421"/>
      <c r="AH260" s="421"/>
    </row>
    <row r="261" spans="22:34">
      <c r="V261" s="4" t="s">
        <v>295</v>
      </c>
      <c r="W261" s="4" t="s">
        <v>685</v>
      </c>
      <c r="X261" s="2"/>
      <c r="Y261" s="439" t="s">
        <v>684</v>
      </c>
      <c r="Z261" s="440">
        <v>0.06</v>
      </c>
      <c r="AA261" s="481" t="s">
        <v>393</v>
      </c>
      <c r="AB261" s="442" t="s">
        <v>916</v>
      </c>
      <c r="AC261" s="463" t="str">
        <f t="shared" si="4"/>
        <v>大阪府能勢町</v>
      </c>
      <c r="AD261" s="464">
        <v>10.42</v>
      </c>
      <c r="AE261" s="442">
        <v>10.33</v>
      </c>
      <c r="AF261" s="463">
        <v>10.27</v>
      </c>
      <c r="AG261" s="421"/>
      <c r="AH261" s="421"/>
    </row>
    <row r="262" spans="22:34">
      <c r="V262" s="4" t="s">
        <v>295</v>
      </c>
      <c r="W262" s="4" t="s">
        <v>917</v>
      </c>
      <c r="X262" s="2"/>
      <c r="Y262" s="439" t="s">
        <v>684</v>
      </c>
      <c r="Z262" s="440">
        <v>0.06</v>
      </c>
      <c r="AA262" s="481" t="s">
        <v>393</v>
      </c>
      <c r="AB262" s="442" t="s">
        <v>918</v>
      </c>
      <c r="AC262" s="463" t="str">
        <f t="shared" si="4"/>
        <v>大阪府忠岡町</v>
      </c>
      <c r="AD262" s="464">
        <v>10.42</v>
      </c>
      <c r="AE262" s="442">
        <v>10.33</v>
      </c>
      <c r="AF262" s="463">
        <v>10.27</v>
      </c>
      <c r="AG262" s="421"/>
      <c r="AH262" s="421"/>
    </row>
    <row r="263" spans="22:34">
      <c r="V263" s="4" t="s">
        <v>295</v>
      </c>
      <c r="W263" s="4" t="s">
        <v>919</v>
      </c>
      <c r="X263" s="2"/>
      <c r="Y263" s="439" t="s">
        <v>684</v>
      </c>
      <c r="Z263" s="440">
        <v>0.06</v>
      </c>
      <c r="AA263" s="481" t="s">
        <v>393</v>
      </c>
      <c r="AB263" s="442" t="s">
        <v>920</v>
      </c>
      <c r="AC263" s="463" t="str">
        <f t="shared" si="4"/>
        <v>大阪府熊取町</v>
      </c>
      <c r="AD263" s="464">
        <v>10.42</v>
      </c>
      <c r="AE263" s="442">
        <v>10.33</v>
      </c>
      <c r="AF263" s="463">
        <v>10.27</v>
      </c>
      <c r="AG263" s="421"/>
      <c r="AH263" s="421"/>
    </row>
    <row r="264" spans="22:34">
      <c r="V264" s="4" t="s">
        <v>295</v>
      </c>
      <c r="W264" s="4" t="s">
        <v>921</v>
      </c>
      <c r="X264" s="2"/>
      <c r="Y264" s="439" t="s">
        <v>684</v>
      </c>
      <c r="Z264" s="440">
        <v>0.06</v>
      </c>
      <c r="AA264" s="481" t="s">
        <v>393</v>
      </c>
      <c r="AB264" s="442" t="s">
        <v>922</v>
      </c>
      <c r="AC264" s="463" t="str">
        <f t="shared" si="4"/>
        <v>大阪府田尻町</v>
      </c>
      <c r="AD264" s="464">
        <v>10.42</v>
      </c>
      <c r="AE264" s="442">
        <v>10.33</v>
      </c>
      <c r="AF264" s="463">
        <v>10.27</v>
      </c>
      <c r="AG264" s="421"/>
      <c r="AH264" s="421"/>
    </row>
    <row r="265" spans="22:34">
      <c r="V265" s="4" t="s">
        <v>295</v>
      </c>
      <c r="W265" s="4" t="s">
        <v>923</v>
      </c>
      <c r="X265" s="2"/>
      <c r="Y265" s="439" t="s">
        <v>684</v>
      </c>
      <c r="Z265" s="440">
        <v>0.06</v>
      </c>
      <c r="AA265" s="481" t="s">
        <v>393</v>
      </c>
      <c r="AB265" s="442" t="s">
        <v>924</v>
      </c>
      <c r="AC265" s="463" t="str">
        <f t="shared" si="4"/>
        <v>大阪府岬町</v>
      </c>
      <c r="AD265" s="464">
        <v>10.42</v>
      </c>
      <c r="AE265" s="442">
        <v>10.33</v>
      </c>
      <c r="AF265" s="463">
        <v>10.27</v>
      </c>
      <c r="AG265" s="421"/>
      <c r="AH265" s="421"/>
    </row>
    <row r="266" spans="22:34">
      <c r="V266" s="4" t="s">
        <v>295</v>
      </c>
      <c r="W266" s="4" t="s">
        <v>925</v>
      </c>
      <c r="X266" s="2"/>
      <c r="Y266" s="439" t="s">
        <v>684</v>
      </c>
      <c r="Z266" s="440">
        <v>0.06</v>
      </c>
      <c r="AA266" s="481" t="s">
        <v>393</v>
      </c>
      <c r="AB266" s="442" t="s">
        <v>926</v>
      </c>
      <c r="AC266" s="463" t="str">
        <f t="shared" si="4"/>
        <v>大阪府太子町</v>
      </c>
      <c r="AD266" s="464">
        <v>10.42</v>
      </c>
      <c r="AE266" s="442">
        <v>10.33</v>
      </c>
      <c r="AF266" s="463">
        <v>10.27</v>
      </c>
      <c r="AG266" s="421"/>
      <c r="AH266" s="421"/>
    </row>
    <row r="267" spans="22:34">
      <c r="V267" s="4" t="s">
        <v>295</v>
      </c>
      <c r="W267" s="4" t="s">
        <v>927</v>
      </c>
      <c r="X267" s="2"/>
      <c r="Y267" s="439" t="s">
        <v>684</v>
      </c>
      <c r="Z267" s="440">
        <v>0.06</v>
      </c>
      <c r="AA267" s="481" t="s">
        <v>393</v>
      </c>
      <c r="AB267" s="442" t="s">
        <v>928</v>
      </c>
      <c r="AC267" s="463" t="str">
        <f t="shared" si="4"/>
        <v>大阪府河南町</v>
      </c>
      <c r="AD267" s="464">
        <v>10.42</v>
      </c>
      <c r="AE267" s="442">
        <v>10.33</v>
      </c>
      <c r="AF267" s="463">
        <v>10.27</v>
      </c>
      <c r="AG267" s="421"/>
      <c r="AH267" s="421"/>
    </row>
    <row r="268" spans="22:34">
      <c r="V268" s="4" t="s">
        <v>295</v>
      </c>
      <c r="W268" s="4" t="s">
        <v>929</v>
      </c>
      <c r="X268" s="2"/>
      <c r="Y268" s="439" t="s">
        <v>684</v>
      </c>
      <c r="Z268" s="440">
        <v>0.06</v>
      </c>
      <c r="AA268" s="481" t="s">
        <v>393</v>
      </c>
      <c r="AB268" s="442" t="s">
        <v>930</v>
      </c>
      <c r="AC268" s="463" t="str">
        <f t="shared" si="4"/>
        <v>大阪府千早赤阪村</v>
      </c>
      <c r="AD268" s="464">
        <v>10.42</v>
      </c>
      <c r="AE268" s="442">
        <v>10.33</v>
      </c>
      <c r="AF268" s="463">
        <v>10.27</v>
      </c>
      <c r="AG268" s="421"/>
      <c r="AH268" s="421"/>
    </row>
    <row r="269" spans="22:34">
      <c r="V269" s="4" t="s">
        <v>295</v>
      </c>
      <c r="W269" s="4" t="s">
        <v>931</v>
      </c>
      <c r="X269" s="2"/>
      <c r="Y269" s="439" t="s">
        <v>684</v>
      </c>
      <c r="Z269" s="440">
        <v>0.06</v>
      </c>
      <c r="AA269" s="481" t="s">
        <v>397</v>
      </c>
      <c r="AB269" s="442" t="s">
        <v>932</v>
      </c>
      <c r="AC269" s="463" t="str">
        <f t="shared" si="4"/>
        <v>兵庫県明石市</v>
      </c>
      <c r="AD269" s="464">
        <v>10.42</v>
      </c>
      <c r="AE269" s="442">
        <v>10.33</v>
      </c>
      <c r="AF269" s="463">
        <v>10.27</v>
      </c>
      <c r="AG269" s="421"/>
      <c r="AH269" s="421"/>
    </row>
    <row r="270" spans="22:34">
      <c r="V270" s="4" t="s">
        <v>295</v>
      </c>
      <c r="W270" s="4" t="s">
        <v>933</v>
      </c>
      <c r="X270" s="2"/>
      <c r="Y270" s="439" t="s">
        <v>684</v>
      </c>
      <c r="Z270" s="440">
        <v>0.06</v>
      </c>
      <c r="AA270" s="481" t="s">
        <v>397</v>
      </c>
      <c r="AB270" s="442" t="s">
        <v>934</v>
      </c>
      <c r="AC270" s="463" t="str">
        <f t="shared" si="4"/>
        <v>兵庫県猪名川町</v>
      </c>
      <c r="AD270" s="464">
        <v>10.42</v>
      </c>
      <c r="AE270" s="442">
        <v>10.33</v>
      </c>
      <c r="AF270" s="463">
        <v>10.27</v>
      </c>
      <c r="AG270" s="421"/>
      <c r="AH270" s="421"/>
    </row>
    <row r="271" spans="22:34">
      <c r="V271" s="4" t="s">
        <v>295</v>
      </c>
      <c r="W271" s="4" t="s">
        <v>935</v>
      </c>
      <c r="X271" s="2"/>
      <c r="Y271" s="439" t="s">
        <v>684</v>
      </c>
      <c r="Z271" s="440">
        <v>0.06</v>
      </c>
      <c r="AA271" s="481" t="s">
        <v>402</v>
      </c>
      <c r="AB271" s="442" t="s">
        <v>936</v>
      </c>
      <c r="AC271" s="463" t="str">
        <f t="shared" si="4"/>
        <v>奈良県奈良市</v>
      </c>
      <c r="AD271" s="464">
        <v>10.42</v>
      </c>
      <c r="AE271" s="442">
        <v>10.33</v>
      </c>
      <c r="AF271" s="463">
        <v>10.27</v>
      </c>
      <c r="AG271" s="421"/>
      <c r="AH271" s="421"/>
    </row>
    <row r="272" spans="22:34">
      <c r="V272" s="4" t="s">
        <v>295</v>
      </c>
      <c r="W272" s="4" t="s">
        <v>937</v>
      </c>
      <c r="X272" s="2"/>
      <c r="Y272" s="439" t="s">
        <v>684</v>
      </c>
      <c r="Z272" s="440">
        <v>0.06</v>
      </c>
      <c r="AA272" s="481" t="s">
        <v>402</v>
      </c>
      <c r="AB272" s="442" t="s">
        <v>938</v>
      </c>
      <c r="AC272" s="463" t="str">
        <f t="shared" si="4"/>
        <v>奈良県大和郡山市</v>
      </c>
      <c r="AD272" s="464">
        <v>10.42</v>
      </c>
      <c r="AE272" s="442">
        <v>10.33</v>
      </c>
      <c r="AF272" s="463">
        <v>10.27</v>
      </c>
      <c r="AG272" s="421"/>
      <c r="AH272" s="421"/>
    </row>
    <row r="273" spans="22:34">
      <c r="V273" s="4" t="s">
        <v>295</v>
      </c>
      <c r="W273" s="4" t="s">
        <v>939</v>
      </c>
      <c r="X273" s="2"/>
      <c r="Y273" s="439" t="s">
        <v>684</v>
      </c>
      <c r="Z273" s="440">
        <v>0.06</v>
      </c>
      <c r="AA273" s="481" t="s">
        <v>402</v>
      </c>
      <c r="AB273" s="442" t="s">
        <v>940</v>
      </c>
      <c r="AC273" s="463" t="str">
        <f t="shared" si="4"/>
        <v>奈良県生駒市</v>
      </c>
      <c r="AD273" s="464">
        <v>10.42</v>
      </c>
      <c r="AE273" s="442">
        <v>10.33</v>
      </c>
      <c r="AF273" s="463">
        <v>10.27</v>
      </c>
      <c r="AG273" s="421"/>
      <c r="AH273" s="421"/>
    </row>
    <row r="274" spans="22:34">
      <c r="V274" s="4" t="s">
        <v>295</v>
      </c>
      <c r="W274" s="4" t="s">
        <v>941</v>
      </c>
      <c r="X274" s="2"/>
      <c r="Y274" s="439" t="s">
        <v>684</v>
      </c>
      <c r="Z274" s="440">
        <v>0.06</v>
      </c>
      <c r="AA274" s="481" t="s">
        <v>406</v>
      </c>
      <c r="AB274" s="442" t="s">
        <v>942</v>
      </c>
      <c r="AC274" s="463" t="str">
        <f t="shared" si="4"/>
        <v>和歌山県和歌山市</v>
      </c>
      <c r="AD274" s="464">
        <v>10.42</v>
      </c>
      <c r="AE274" s="442">
        <v>10.33</v>
      </c>
      <c r="AF274" s="463">
        <v>10.27</v>
      </c>
      <c r="AG274" s="421"/>
      <c r="AH274" s="421"/>
    </row>
    <row r="275" spans="22:34">
      <c r="V275" s="4" t="s">
        <v>295</v>
      </c>
      <c r="W275" s="4" t="s">
        <v>943</v>
      </c>
      <c r="X275" s="2"/>
      <c r="Y275" s="439" t="s">
        <v>684</v>
      </c>
      <c r="Z275" s="440">
        <v>0.06</v>
      </c>
      <c r="AA275" s="481" t="s">
        <v>406</v>
      </c>
      <c r="AB275" s="442" t="s">
        <v>944</v>
      </c>
      <c r="AC275" s="463" t="str">
        <f t="shared" si="4"/>
        <v>和歌山県橋本市</v>
      </c>
      <c r="AD275" s="464">
        <v>10.42</v>
      </c>
      <c r="AE275" s="442">
        <v>10.33</v>
      </c>
      <c r="AF275" s="463">
        <v>10.27</v>
      </c>
      <c r="AG275" s="421"/>
      <c r="AH275" s="421"/>
    </row>
    <row r="276" spans="22:34">
      <c r="V276" s="4" t="s">
        <v>295</v>
      </c>
      <c r="W276" s="4" t="s">
        <v>945</v>
      </c>
      <c r="X276" s="2"/>
      <c r="Y276" s="439" t="s">
        <v>684</v>
      </c>
      <c r="Z276" s="440">
        <v>0.06</v>
      </c>
      <c r="AA276" s="481" t="s">
        <v>451</v>
      </c>
      <c r="AB276" s="442" t="s">
        <v>946</v>
      </c>
      <c r="AC276" s="463" t="str">
        <f t="shared" si="4"/>
        <v>福岡県大野城市</v>
      </c>
      <c r="AD276" s="464">
        <v>10.42</v>
      </c>
      <c r="AE276" s="442">
        <v>10.33</v>
      </c>
      <c r="AF276" s="463">
        <v>10.27</v>
      </c>
      <c r="AG276" s="421"/>
      <c r="AH276" s="421"/>
    </row>
    <row r="277" spans="22:34">
      <c r="V277" s="4" t="s">
        <v>295</v>
      </c>
      <c r="W277" s="4" t="s">
        <v>947</v>
      </c>
      <c r="X277" s="2"/>
      <c r="Y277" s="439" t="s">
        <v>684</v>
      </c>
      <c r="Z277" s="440">
        <v>0.06</v>
      </c>
      <c r="AA277" s="481" t="s">
        <v>451</v>
      </c>
      <c r="AB277" s="442" t="s">
        <v>948</v>
      </c>
      <c r="AC277" s="463" t="str">
        <f t="shared" si="4"/>
        <v>福岡県太宰府市</v>
      </c>
      <c r="AD277" s="464">
        <v>10.42</v>
      </c>
      <c r="AE277" s="442">
        <v>10.33</v>
      </c>
      <c r="AF277" s="463">
        <v>10.27</v>
      </c>
      <c r="AG277" s="421"/>
      <c r="AH277" s="421"/>
    </row>
    <row r="278" spans="22:34">
      <c r="V278" s="4" t="s">
        <v>295</v>
      </c>
      <c r="W278" s="4" t="s">
        <v>949</v>
      </c>
      <c r="X278" s="2"/>
      <c r="Y278" s="439" t="s">
        <v>684</v>
      </c>
      <c r="Z278" s="440">
        <v>0.06</v>
      </c>
      <c r="AA278" s="481" t="s">
        <v>451</v>
      </c>
      <c r="AB278" s="442" t="s">
        <v>950</v>
      </c>
      <c r="AC278" s="463" t="str">
        <f t="shared" si="4"/>
        <v>福岡県福津市</v>
      </c>
      <c r="AD278" s="464">
        <v>10.42</v>
      </c>
      <c r="AE278" s="442">
        <v>10.33</v>
      </c>
      <c r="AF278" s="463">
        <v>10.27</v>
      </c>
      <c r="AG278" s="421"/>
      <c r="AH278" s="421"/>
    </row>
    <row r="279" spans="22:34">
      <c r="V279" s="4" t="s">
        <v>295</v>
      </c>
      <c r="W279" s="4" t="s">
        <v>951</v>
      </c>
      <c r="X279" s="2"/>
      <c r="Y279" s="439" t="s">
        <v>684</v>
      </c>
      <c r="Z279" s="440">
        <v>0.06</v>
      </c>
      <c r="AA279" s="481" t="s">
        <v>451</v>
      </c>
      <c r="AB279" s="442" t="s">
        <v>952</v>
      </c>
      <c r="AC279" s="463" t="str">
        <f t="shared" si="4"/>
        <v>福岡県糸島市</v>
      </c>
      <c r="AD279" s="464">
        <v>10.42</v>
      </c>
      <c r="AE279" s="442">
        <v>10.33</v>
      </c>
      <c r="AF279" s="463">
        <v>10.27</v>
      </c>
      <c r="AG279" s="421"/>
      <c r="AH279" s="421"/>
    </row>
    <row r="280" spans="22:34">
      <c r="V280" s="4" t="s">
        <v>295</v>
      </c>
      <c r="W280" s="4" t="s">
        <v>953</v>
      </c>
      <c r="X280" s="2"/>
      <c r="Y280" s="439" t="s">
        <v>684</v>
      </c>
      <c r="Z280" s="440">
        <v>0.06</v>
      </c>
      <c r="AA280" s="481" t="s">
        <v>451</v>
      </c>
      <c r="AB280" s="442" t="s">
        <v>954</v>
      </c>
      <c r="AC280" s="463" t="str">
        <f t="shared" si="4"/>
        <v>福岡県那珂川市</v>
      </c>
      <c r="AD280" s="464">
        <v>10.42</v>
      </c>
      <c r="AE280" s="442">
        <v>10.33</v>
      </c>
      <c r="AF280" s="463">
        <v>10.27</v>
      </c>
      <c r="AG280" s="421"/>
      <c r="AH280" s="421"/>
    </row>
    <row r="281" spans="22:34" ht="14.25" thickBot="1">
      <c r="V281" s="4" t="s">
        <v>295</v>
      </c>
      <c r="W281" s="4" t="s">
        <v>955</v>
      </c>
      <c r="X281" s="2"/>
      <c r="Y281" s="465" t="s">
        <v>684</v>
      </c>
      <c r="Z281" s="466">
        <v>0.06</v>
      </c>
      <c r="AA281" s="485" t="s">
        <v>451</v>
      </c>
      <c r="AB281" s="468" t="s">
        <v>956</v>
      </c>
      <c r="AC281" s="469" t="str">
        <f t="shared" si="4"/>
        <v>福岡県粕屋町</v>
      </c>
      <c r="AD281" s="486">
        <v>10.42</v>
      </c>
      <c r="AE281" s="468">
        <v>10.33</v>
      </c>
      <c r="AF281" s="471">
        <v>10.27</v>
      </c>
      <c r="AG281" s="421"/>
      <c r="AH281" s="421"/>
    </row>
    <row r="282" spans="22:34">
      <c r="V282" s="4" t="s">
        <v>295</v>
      </c>
      <c r="W282" s="4" t="s">
        <v>957</v>
      </c>
      <c r="X282" s="2"/>
      <c r="Y282" s="431" t="s">
        <v>958</v>
      </c>
      <c r="Z282" s="432">
        <v>0.03</v>
      </c>
      <c r="AA282" s="480" t="s">
        <v>281</v>
      </c>
      <c r="AB282" s="434" t="s">
        <v>282</v>
      </c>
      <c r="AC282" s="435" t="str">
        <f t="shared" si="4"/>
        <v>北海道札幌市</v>
      </c>
      <c r="AD282" s="461">
        <v>10.210000000000001</v>
      </c>
      <c r="AE282" s="434">
        <v>10.17</v>
      </c>
      <c r="AF282" s="460">
        <v>10.14</v>
      </c>
      <c r="AG282" s="421"/>
      <c r="AH282" s="421"/>
    </row>
    <row r="283" spans="22:34">
      <c r="V283" s="4" t="s">
        <v>295</v>
      </c>
      <c r="W283" s="4" t="s">
        <v>959</v>
      </c>
      <c r="X283" s="2"/>
      <c r="Y283" s="439" t="s">
        <v>958</v>
      </c>
      <c r="Z283" s="440">
        <v>0.03</v>
      </c>
      <c r="AA283" s="487" t="s">
        <v>313</v>
      </c>
      <c r="AB283" s="442" t="s">
        <v>960</v>
      </c>
      <c r="AC283" s="443" t="str">
        <f t="shared" si="4"/>
        <v>茨城県結城市</v>
      </c>
      <c r="AD283" s="464">
        <v>10.210000000000001</v>
      </c>
      <c r="AE283" s="442">
        <v>10.17</v>
      </c>
      <c r="AF283" s="463">
        <v>10.14</v>
      </c>
      <c r="AG283" s="421"/>
      <c r="AH283" s="421"/>
    </row>
    <row r="284" spans="22:34">
      <c r="V284" s="4" t="s">
        <v>295</v>
      </c>
      <c r="W284" s="4" t="s">
        <v>961</v>
      </c>
      <c r="X284" s="2"/>
      <c r="Y284" s="439" t="s">
        <v>958</v>
      </c>
      <c r="Z284" s="440">
        <v>0.03</v>
      </c>
      <c r="AA284" s="487" t="s">
        <v>313</v>
      </c>
      <c r="AB284" s="442" t="s">
        <v>962</v>
      </c>
      <c r="AC284" s="443" t="str">
        <f t="shared" si="4"/>
        <v>茨城県下妻市</v>
      </c>
      <c r="AD284" s="464">
        <v>10.210000000000001</v>
      </c>
      <c r="AE284" s="442">
        <v>10.17</v>
      </c>
      <c r="AF284" s="463">
        <v>10.14</v>
      </c>
      <c r="AG284" s="421"/>
      <c r="AH284" s="421"/>
    </row>
    <row r="285" spans="22:34">
      <c r="V285" s="4" t="s">
        <v>295</v>
      </c>
      <c r="W285" s="4" t="s">
        <v>963</v>
      </c>
      <c r="X285" s="2"/>
      <c r="Y285" s="439" t="s">
        <v>958</v>
      </c>
      <c r="Z285" s="440">
        <v>0.03</v>
      </c>
      <c r="AA285" s="487" t="s">
        <v>313</v>
      </c>
      <c r="AB285" s="442" t="s">
        <v>964</v>
      </c>
      <c r="AC285" s="443" t="str">
        <f t="shared" si="4"/>
        <v>茨城県常総市</v>
      </c>
      <c r="AD285" s="464">
        <v>10.210000000000001</v>
      </c>
      <c r="AE285" s="442">
        <v>10.17</v>
      </c>
      <c r="AF285" s="463">
        <v>10.14</v>
      </c>
      <c r="AG285" s="421"/>
      <c r="AH285" s="421"/>
    </row>
    <row r="286" spans="22:34">
      <c r="V286" s="4" t="s">
        <v>295</v>
      </c>
      <c r="W286" s="4" t="s">
        <v>965</v>
      </c>
      <c r="X286" s="2"/>
      <c r="Y286" s="439" t="s">
        <v>958</v>
      </c>
      <c r="Z286" s="440">
        <v>0.03</v>
      </c>
      <c r="AA286" s="487" t="s">
        <v>313</v>
      </c>
      <c r="AB286" s="442" t="s">
        <v>966</v>
      </c>
      <c r="AC286" s="443" t="str">
        <f t="shared" si="4"/>
        <v>茨城県笠間市</v>
      </c>
      <c r="AD286" s="464">
        <v>10.210000000000001</v>
      </c>
      <c r="AE286" s="442">
        <v>10.17</v>
      </c>
      <c r="AF286" s="463">
        <v>10.14</v>
      </c>
      <c r="AG286" s="421"/>
      <c r="AH286" s="421"/>
    </row>
    <row r="287" spans="22:34">
      <c r="V287" s="4" t="s">
        <v>295</v>
      </c>
      <c r="W287" s="4" t="s">
        <v>967</v>
      </c>
      <c r="X287" s="2"/>
      <c r="Y287" s="439" t="s">
        <v>958</v>
      </c>
      <c r="Z287" s="440">
        <v>0.03</v>
      </c>
      <c r="AA287" s="487" t="s">
        <v>313</v>
      </c>
      <c r="AB287" s="442" t="s">
        <v>968</v>
      </c>
      <c r="AC287" s="443" t="str">
        <f t="shared" si="4"/>
        <v>茨城県ひたちなか市</v>
      </c>
      <c r="AD287" s="464">
        <v>10.210000000000001</v>
      </c>
      <c r="AE287" s="442">
        <v>10.17</v>
      </c>
      <c r="AF287" s="463">
        <v>10.14</v>
      </c>
      <c r="AG287" s="421"/>
      <c r="AH287" s="421"/>
    </row>
    <row r="288" spans="22:34">
      <c r="V288" s="4" t="s">
        <v>295</v>
      </c>
      <c r="W288" s="4" t="s">
        <v>969</v>
      </c>
      <c r="X288" s="2"/>
      <c r="Y288" s="439" t="s">
        <v>958</v>
      </c>
      <c r="Z288" s="440">
        <v>0.03</v>
      </c>
      <c r="AA288" s="487" t="s">
        <v>313</v>
      </c>
      <c r="AB288" s="442" t="s">
        <v>970</v>
      </c>
      <c r="AC288" s="443" t="str">
        <f t="shared" si="4"/>
        <v>茨城県那珂市</v>
      </c>
      <c r="AD288" s="464">
        <v>10.210000000000001</v>
      </c>
      <c r="AE288" s="442">
        <v>10.17</v>
      </c>
      <c r="AF288" s="463">
        <v>10.14</v>
      </c>
      <c r="AG288" s="421"/>
      <c r="AH288" s="421"/>
    </row>
    <row r="289" spans="22:34">
      <c r="V289" s="4" t="s">
        <v>295</v>
      </c>
      <c r="W289" s="4" t="s">
        <v>971</v>
      </c>
      <c r="X289" s="2"/>
      <c r="Y289" s="439" t="s">
        <v>958</v>
      </c>
      <c r="Z289" s="440">
        <v>0.03</v>
      </c>
      <c r="AA289" s="487" t="s">
        <v>313</v>
      </c>
      <c r="AB289" s="442" t="s">
        <v>972</v>
      </c>
      <c r="AC289" s="443" t="str">
        <f t="shared" si="4"/>
        <v>茨城県筑西市</v>
      </c>
      <c r="AD289" s="464">
        <v>10.210000000000001</v>
      </c>
      <c r="AE289" s="442">
        <v>10.17</v>
      </c>
      <c r="AF289" s="463">
        <v>10.14</v>
      </c>
      <c r="AG289" s="421"/>
      <c r="AH289" s="421"/>
    </row>
    <row r="290" spans="22:34">
      <c r="V290" s="4" t="s">
        <v>295</v>
      </c>
      <c r="W290" s="4" t="s">
        <v>973</v>
      </c>
      <c r="X290" s="2"/>
      <c r="Y290" s="439" t="s">
        <v>958</v>
      </c>
      <c r="Z290" s="440">
        <v>0.03</v>
      </c>
      <c r="AA290" s="487" t="s">
        <v>313</v>
      </c>
      <c r="AB290" s="442" t="s">
        <v>974</v>
      </c>
      <c r="AC290" s="443" t="str">
        <f t="shared" si="4"/>
        <v>茨城県坂東市</v>
      </c>
      <c r="AD290" s="464">
        <v>10.210000000000001</v>
      </c>
      <c r="AE290" s="442">
        <v>10.17</v>
      </c>
      <c r="AF290" s="463">
        <v>10.14</v>
      </c>
      <c r="AG290" s="421"/>
      <c r="AH290" s="421"/>
    </row>
    <row r="291" spans="22:34">
      <c r="V291" s="4" t="s">
        <v>295</v>
      </c>
      <c r="W291" s="4" t="s">
        <v>975</v>
      </c>
      <c r="X291" s="2"/>
      <c r="Y291" s="439" t="s">
        <v>958</v>
      </c>
      <c r="Z291" s="440">
        <v>0.03</v>
      </c>
      <c r="AA291" s="487" t="s">
        <v>313</v>
      </c>
      <c r="AB291" s="442" t="s">
        <v>976</v>
      </c>
      <c r="AC291" s="443" t="str">
        <f t="shared" si="4"/>
        <v>茨城県稲敷市</v>
      </c>
      <c r="AD291" s="464">
        <v>10.210000000000001</v>
      </c>
      <c r="AE291" s="442">
        <v>10.17</v>
      </c>
      <c r="AF291" s="463">
        <v>10.14</v>
      </c>
      <c r="AG291" s="421"/>
      <c r="AH291" s="421"/>
    </row>
    <row r="292" spans="22:34">
      <c r="V292" s="4" t="s">
        <v>295</v>
      </c>
      <c r="W292" s="4" t="s">
        <v>977</v>
      </c>
      <c r="X292" s="2"/>
      <c r="Y292" s="439" t="s">
        <v>958</v>
      </c>
      <c r="Z292" s="440">
        <v>0.03</v>
      </c>
      <c r="AA292" s="487" t="s">
        <v>313</v>
      </c>
      <c r="AB292" s="442" t="s">
        <v>978</v>
      </c>
      <c r="AC292" s="443" t="str">
        <f t="shared" si="4"/>
        <v>茨城県つくばみらい市</v>
      </c>
      <c r="AD292" s="464">
        <v>10.210000000000001</v>
      </c>
      <c r="AE292" s="442">
        <v>10.17</v>
      </c>
      <c r="AF292" s="463">
        <v>10.14</v>
      </c>
      <c r="AG292" s="421"/>
      <c r="AH292" s="421"/>
    </row>
    <row r="293" spans="22:34">
      <c r="V293" s="4" t="s">
        <v>295</v>
      </c>
      <c r="W293" s="4" t="s">
        <v>979</v>
      </c>
      <c r="X293" s="2"/>
      <c r="Y293" s="439" t="s">
        <v>958</v>
      </c>
      <c r="Z293" s="440">
        <v>0.03</v>
      </c>
      <c r="AA293" s="487" t="s">
        <v>313</v>
      </c>
      <c r="AB293" s="442" t="s">
        <v>980</v>
      </c>
      <c r="AC293" s="443" t="str">
        <f t="shared" si="4"/>
        <v>茨城県大洗町</v>
      </c>
      <c r="AD293" s="464">
        <v>10.210000000000001</v>
      </c>
      <c r="AE293" s="442">
        <v>10.17</v>
      </c>
      <c r="AF293" s="463">
        <v>10.14</v>
      </c>
      <c r="AG293" s="421"/>
      <c r="AH293" s="421"/>
    </row>
    <row r="294" spans="22:34">
      <c r="V294" s="4" t="s">
        <v>295</v>
      </c>
      <c r="W294" s="4" t="s">
        <v>981</v>
      </c>
      <c r="X294" s="2"/>
      <c r="Y294" s="439" t="s">
        <v>958</v>
      </c>
      <c r="Z294" s="440">
        <v>0.03</v>
      </c>
      <c r="AA294" s="487" t="s">
        <v>313</v>
      </c>
      <c r="AB294" s="442" t="s">
        <v>982</v>
      </c>
      <c r="AC294" s="443" t="str">
        <f t="shared" si="4"/>
        <v>茨城県阿見町</v>
      </c>
      <c r="AD294" s="464">
        <v>10.210000000000001</v>
      </c>
      <c r="AE294" s="442">
        <v>10.17</v>
      </c>
      <c r="AF294" s="463">
        <v>10.14</v>
      </c>
      <c r="AG294" s="421"/>
      <c r="AH294" s="421"/>
    </row>
    <row r="295" spans="22:34">
      <c r="V295" s="4" t="s">
        <v>295</v>
      </c>
      <c r="W295" s="4" t="s">
        <v>983</v>
      </c>
      <c r="X295" s="2"/>
      <c r="Y295" s="439" t="s">
        <v>958</v>
      </c>
      <c r="Z295" s="440">
        <v>0.03</v>
      </c>
      <c r="AA295" s="487" t="s">
        <v>313</v>
      </c>
      <c r="AB295" s="442" t="s">
        <v>984</v>
      </c>
      <c r="AC295" s="443" t="str">
        <f t="shared" si="4"/>
        <v>茨城県河内町</v>
      </c>
      <c r="AD295" s="464">
        <v>10.210000000000001</v>
      </c>
      <c r="AE295" s="442">
        <v>10.17</v>
      </c>
      <c r="AF295" s="463">
        <v>10.14</v>
      </c>
      <c r="AG295" s="421"/>
      <c r="AH295" s="421"/>
    </row>
    <row r="296" spans="22:34">
      <c r="V296" s="4" t="s">
        <v>299</v>
      </c>
      <c r="W296" s="4" t="s">
        <v>985</v>
      </c>
      <c r="X296" s="2"/>
      <c r="Y296" s="439" t="s">
        <v>958</v>
      </c>
      <c r="Z296" s="440">
        <v>0.03</v>
      </c>
      <c r="AA296" s="487" t="s">
        <v>313</v>
      </c>
      <c r="AB296" s="442" t="s">
        <v>986</v>
      </c>
      <c r="AC296" s="443" t="str">
        <f t="shared" si="4"/>
        <v>茨城県八千代町</v>
      </c>
      <c r="AD296" s="464">
        <v>10.210000000000001</v>
      </c>
      <c r="AE296" s="442">
        <v>10.17</v>
      </c>
      <c r="AF296" s="463">
        <v>10.14</v>
      </c>
      <c r="AG296" s="421"/>
      <c r="AH296" s="421"/>
    </row>
    <row r="297" spans="22:34">
      <c r="V297" s="4" t="s">
        <v>299</v>
      </c>
      <c r="W297" s="4" t="s">
        <v>987</v>
      </c>
      <c r="X297" s="2"/>
      <c r="Y297" s="439" t="s">
        <v>958</v>
      </c>
      <c r="Z297" s="440">
        <v>0.03</v>
      </c>
      <c r="AA297" s="487" t="s">
        <v>313</v>
      </c>
      <c r="AB297" s="442" t="s">
        <v>988</v>
      </c>
      <c r="AC297" s="443" t="str">
        <f t="shared" si="4"/>
        <v>茨城県五霞町</v>
      </c>
      <c r="AD297" s="464">
        <v>10.210000000000001</v>
      </c>
      <c r="AE297" s="442">
        <v>10.17</v>
      </c>
      <c r="AF297" s="463">
        <v>10.14</v>
      </c>
      <c r="AG297" s="421"/>
      <c r="AH297" s="421"/>
    </row>
    <row r="298" spans="22:34">
      <c r="V298" s="4" t="s">
        <v>299</v>
      </c>
      <c r="W298" s="4" t="s">
        <v>989</v>
      </c>
      <c r="X298" s="2"/>
      <c r="Y298" s="439" t="s">
        <v>958</v>
      </c>
      <c r="Z298" s="440">
        <v>0.03</v>
      </c>
      <c r="AA298" s="487" t="s">
        <v>313</v>
      </c>
      <c r="AB298" s="442" t="s">
        <v>990</v>
      </c>
      <c r="AC298" s="443" t="str">
        <f t="shared" si="4"/>
        <v>茨城県境町</v>
      </c>
      <c r="AD298" s="464">
        <v>10.210000000000001</v>
      </c>
      <c r="AE298" s="442">
        <v>10.17</v>
      </c>
      <c r="AF298" s="463">
        <v>10.14</v>
      </c>
      <c r="AG298" s="421"/>
      <c r="AH298" s="421"/>
    </row>
    <row r="299" spans="22:34">
      <c r="V299" s="4" t="s">
        <v>299</v>
      </c>
      <c r="W299" s="4" t="s">
        <v>991</v>
      </c>
      <c r="X299" s="2"/>
      <c r="Y299" s="439" t="s">
        <v>958</v>
      </c>
      <c r="Z299" s="440">
        <v>0.03</v>
      </c>
      <c r="AA299" s="487" t="s">
        <v>317</v>
      </c>
      <c r="AB299" s="442" t="s">
        <v>992</v>
      </c>
      <c r="AC299" s="443" t="str">
        <f t="shared" si="4"/>
        <v>栃木県栃木市</v>
      </c>
      <c r="AD299" s="464">
        <v>10.210000000000001</v>
      </c>
      <c r="AE299" s="442">
        <v>10.17</v>
      </c>
      <c r="AF299" s="463">
        <v>10.14</v>
      </c>
      <c r="AG299" s="421"/>
      <c r="AH299" s="421"/>
    </row>
    <row r="300" spans="22:34">
      <c r="V300" s="4" t="s">
        <v>299</v>
      </c>
      <c r="W300" s="4" t="s">
        <v>993</v>
      </c>
      <c r="X300" s="2"/>
      <c r="Y300" s="439" t="s">
        <v>958</v>
      </c>
      <c r="Z300" s="440">
        <v>0.03</v>
      </c>
      <c r="AA300" s="487" t="s">
        <v>317</v>
      </c>
      <c r="AB300" s="442" t="s">
        <v>994</v>
      </c>
      <c r="AC300" s="443" t="str">
        <f t="shared" si="4"/>
        <v>栃木県鹿沼市</v>
      </c>
      <c r="AD300" s="464">
        <v>10.210000000000001</v>
      </c>
      <c r="AE300" s="442">
        <v>10.17</v>
      </c>
      <c r="AF300" s="463">
        <v>10.14</v>
      </c>
      <c r="AG300" s="421"/>
      <c r="AH300" s="421"/>
    </row>
    <row r="301" spans="22:34">
      <c r="V301" s="4" t="s">
        <v>299</v>
      </c>
      <c r="W301" s="4" t="s">
        <v>995</v>
      </c>
      <c r="X301" s="2"/>
      <c r="Y301" s="439" t="s">
        <v>958</v>
      </c>
      <c r="Z301" s="440">
        <v>0.03</v>
      </c>
      <c r="AA301" s="487" t="s">
        <v>317</v>
      </c>
      <c r="AB301" s="442" t="s">
        <v>996</v>
      </c>
      <c r="AC301" s="443" t="str">
        <f t="shared" si="4"/>
        <v>栃木県日光市</v>
      </c>
      <c r="AD301" s="464">
        <v>10.210000000000001</v>
      </c>
      <c r="AE301" s="442">
        <v>10.17</v>
      </c>
      <c r="AF301" s="463">
        <v>10.14</v>
      </c>
      <c r="AG301" s="421"/>
      <c r="AH301" s="421"/>
    </row>
    <row r="302" spans="22:34">
      <c r="V302" s="4" t="s">
        <v>299</v>
      </c>
      <c r="W302" s="4" t="s">
        <v>997</v>
      </c>
      <c r="X302" s="2"/>
      <c r="Y302" s="439" t="s">
        <v>958</v>
      </c>
      <c r="Z302" s="440">
        <v>0.03</v>
      </c>
      <c r="AA302" s="487" t="s">
        <v>317</v>
      </c>
      <c r="AB302" s="442" t="s">
        <v>998</v>
      </c>
      <c r="AC302" s="443" t="str">
        <f t="shared" si="4"/>
        <v>栃木県小山市</v>
      </c>
      <c r="AD302" s="464">
        <v>10.210000000000001</v>
      </c>
      <c r="AE302" s="442">
        <v>10.17</v>
      </c>
      <c r="AF302" s="463">
        <v>10.14</v>
      </c>
      <c r="AG302" s="421"/>
      <c r="AH302" s="421"/>
    </row>
    <row r="303" spans="22:34">
      <c r="V303" s="4" t="s">
        <v>299</v>
      </c>
      <c r="W303" s="4" t="s">
        <v>999</v>
      </c>
      <c r="X303" s="2"/>
      <c r="Y303" s="439" t="s">
        <v>958</v>
      </c>
      <c r="Z303" s="440">
        <v>0.03</v>
      </c>
      <c r="AA303" s="487" t="s">
        <v>317</v>
      </c>
      <c r="AB303" s="442" t="s">
        <v>1000</v>
      </c>
      <c r="AC303" s="443" t="str">
        <f t="shared" si="4"/>
        <v>栃木県真岡市</v>
      </c>
      <c r="AD303" s="464">
        <v>10.210000000000001</v>
      </c>
      <c r="AE303" s="442">
        <v>10.17</v>
      </c>
      <c r="AF303" s="463">
        <v>10.14</v>
      </c>
      <c r="AG303" s="421"/>
      <c r="AH303" s="421"/>
    </row>
    <row r="304" spans="22:34">
      <c r="V304" s="4" t="s">
        <v>299</v>
      </c>
      <c r="W304" s="4" t="s">
        <v>1001</v>
      </c>
      <c r="X304" s="2"/>
      <c r="Y304" s="439" t="s">
        <v>958</v>
      </c>
      <c r="Z304" s="440">
        <v>0.03</v>
      </c>
      <c r="AA304" s="487" t="s">
        <v>317</v>
      </c>
      <c r="AB304" s="442" t="s">
        <v>1002</v>
      </c>
      <c r="AC304" s="443" t="str">
        <f t="shared" si="4"/>
        <v>栃木県大田原市</v>
      </c>
      <c r="AD304" s="464">
        <v>10.210000000000001</v>
      </c>
      <c r="AE304" s="442">
        <v>10.17</v>
      </c>
      <c r="AF304" s="463">
        <v>10.14</v>
      </c>
      <c r="AG304" s="421"/>
      <c r="AH304" s="421"/>
    </row>
    <row r="305" spans="22:34">
      <c r="V305" s="4" t="s">
        <v>299</v>
      </c>
      <c r="W305" s="4" t="s">
        <v>1003</v>
      </c>
      <c r="X305" s="2"/>
      <c r="Y305" s="439" t="s">
        <v>958</v>
      </c>
      <c r="Z305" s="440">
        <v>0.03</v>
      </c>
      <c r="AA305" s="487" t="s">
        <v>317</v>
      </c>
      <c r="AB305" s="442" t="s">
        <v>1004</v>
      </c>
      <c r="AC305" s="443" t="str">
        <f t="shared" si="4"/>
        <v>栃木県さくら市</v>
      </c>
      <c r="AD305" s="464">
        <v>10.210000000000001</v>
      </c>
      <c r="AE305" s="442">
        <v>10.17</v>
      </c>
      <c r="AF305" s="463">
        <v>10.14</v>
      </c>
      <c r="AG305" s="421"/>
      <c r="AH305" s="421"/>
    </row>
    <row r="306" spans="22:34">
      <c r="V306" s="4" t="s">
        <v>299</v>
      </c>
      <c r="W306" s="4" t="s">
        <v>1005</v>
      </c>
      <c r="X306" s="2"/>
      <c r="Y306" s="439" t="s">
        <v>958</v>
      </c>
      <c r="Z306" s="440">
        <v>0.03</v>
      </c>
      <c r="AA306" s="487" t="s">
        <v>317</v>
      </c>
      <c r="AB306" s="442" t="s">
        <v>1006</v>
      </c>
      <c r="AC306" s="443" t="str">
        <f t="shared" si="4"/>
        <v>栃木県下野市</v>
      </c>
      <c r="AD306" s="464">
        <v>10.210000000000001</v>
      </c>
      <c r="AE306" s="442">
        <v>10.17</v>
      </c>
      <c r="AF306" s="463">
        <v>10.14</v>
      </c>
      <c r="AG306" s="421"/>
      <c r="AH306" s="421"/>
    </row>
    <row r="307" spans="22:34">
      <c r="V307" s="4" t="s">
        <v>299</v>
      </c>
      <c r="W307" s="4" t="s">
        <v>1007</v>
      </c>
      <c r="X307" s="2"/>
      <c r="Y307" s="439" t="s">
        <v>958</v>
      </c>
      <c r="Z307" s="440">
        <v>0.03</v>
      </c>
      <c r="AA307" s="487" t="s">
        <v>317</v>
      </c>
      <c r="AB307" s="442" t="s">
        <v>1008</v>
      </c>
      <c r="AC307" s="443" t="str">
        <f t="shared" si="4"/>
        <v>栃木県壬生町</v>
      </c>
      <c r="AD307" s="464">
        <v>10.210000000000001</v>
      </c>
      <c r="AE307" s="442">
        <v>10.17</v>
      </c>
      <c r="AF307" s="463">
        <v>10.14</v>
      </c>
      <c r="AG307" s="421"/>
      <c r="AH307" s="421"/>
    </row>
    <row r="308" spans="22:34">
      <c r="V308" s="4" t="s">
        <v>299</v>
      </c>
      <c r="W308" s="4" t="s">
        <v>1009</v>
      </c>
      <c r="X308" s="2"/>
      <c r="Y308" s="439" t="s">
        <v>958</v>
      </c>
      <c r="Z308" s="440">
        <v>0.03</v>
      </c>
      <c r="AA308" s="487" t="s">
        <v>321</v>
      </c>
      <c r="AB308" s="442" t="s">
        <v>1010</v>
      </c>
      <c r="AC308" s="443" t="str">
        <f t="shared" si="4"/>
        <v>群馬県前橋市</v>
      </c>
      <c r="AD308" s="464">
        <v>10.210000000000001</v>
      </c>
      <c r="AE308" s="442">
        <v>10.17</v>
      </c>
      <c r="AF308" s="463">
        <v>10.14</v>
      </c>
      <c r="AG308" s="421"/>
      <c r="AH308" s="421"/>
    </row>
    <row r="309" spans="22:34">
      <c r="V309" s="4" t="s">
        <v>299</v>
      </c>
      <c r="W309" s="4" t="s">
        <v>1011</v>
      </c>
      <c r="X309" s="2"/>
      <c r="Y309" s="439" t="s">
        <v>958</v>
      </c>
      <c r="Z309" s="440">
        <v>0.03</v>
      </c>
      <c r="AA309" s="487" t="s">
        <v>321</v>
      </c>
      <c r="AB309" s="442" t="s">
        <v>1012</v>
      </c>
      <c r="AC309" s="443" t="str">
        <f t="shared" si="4"/>
        <v>群馬県伊勢崎市</v>
      </c>
      <c r="AD309" s="464">
        <v>10.210000000000001</v>
      </c>
      <c r="AE309" s="442">
        <v>10.17</v>
      </c>
      <c r="AF309" s="463">
        <v>10.14</v>
      </c>
      <c r="AG309" s="421"/>
      <c r="AH309" s="421"/>
    </row>
    <row r="310" spans="22:34">
      <c r="V310" s="4" t="s">
        <v>299</v>
      </c>
      <c r="W310" s="4" t="s">
        <v>1013</v>
      </c>
      <c r="X310" s="2"/>
      <c r="Y310" s="439" t="s">
        <v>958</v>
      </c>
      <c r="Z310" s="440">
        <v>0.03</v>
      </c>
      <c r="AA310" s="487" t="s">
        <v>321</v>
      </c>
      <c r="AB310" s="442" t="s">
        <v>1014</v>
      </c>
      <c r="AC310" s="443" t="str">
        <f t="shared" si="4"/>
        <v>群馬県太田市</v>
      </c>
      <c r="AD310" s="464">
        <v>10.210000000000001</v>
      </c>
      <c r="AE310" s="442">
        <v>10.17</v>
      </c>
      <c r="AF310" s="463">
        <v>10.14</v>
      </c>
      <c r="AG310" s="421"/>
      <c r="AH310" s="421"/>
    </row>
    <row r="311" spans="22:34">
      <c r="V311" s="4" t="s">
        <v>299</v>
      </c>
      <c r="W311" s="4" t="s">
        <v>1015</v>
      </c>
      <c r="X311" s="2"/>
      <c r="Y311" s="439" t="s">
        <v>958</v>
      </c>
      <c r="Z311" s="440">
        <v>0.03</v>
      </c>
      <c r="AA311" s="487" t="s">
        <v>321</v>
      </c>
      <c r="AB311" s="442" t="s">
        <v>1016</v>
      </c>
      <c r="AC311" s="443" t="str">
        <f t="shared" si="4"/>
        <v>群馬県渋川市</v>
      </c>
      <c r="AD311" s="464">
        <v>10.210000000000001</v>
      </c>
      <c r="AE311" s="442">
        <v>10.17</v>
      </c>
      <c r="AF311" s="463">
        <v>10.14</v>
      </c>
      <c r="AG311" s="421"/>
      <c r="AH311" s="421"/>
    </row>
    <row r="312" spans="22:34">
      <c r="V312" s="4" t="s">
        <v>299</v>
      </c>
      <c r="W312" s="4" t="s">
        <v>1017</v>
      </c>
      <c r="X312" s="2"/>
      <c r="Y312" s="439" t="s">
        <v>958</v>
      </c>
      <c r="Z312" s="440">
        <v>0.03</v>
      </c>
      <c r="AA312" s="487" t="s">
        <v>321</v>
      </c>
      <c r="AB312" s="442" t="s">
        <v>1018</v>
      </c>
      <c r="AC312" s="443" t="str">
        <f t="shared" si="4"/>
        <v>群馬県榛東村</v>
      </c>
      <c r="AD312" s="464">
        <v>10.210000000000001</v>
      </c>
      <c r="AE312" s="442">
        <v>10.17</v>
      </c>
      <c r="AF312" s="463">
        <v>10.14</v>
      </c>
      <c r="AG312" s="421"/>
      <c r="AH312" s="421"/>
    </row>
    <row r="313" spans="22:34">
      <c r="V313" s="4" t="s">
        <v>299</v>
      </c>
      <c r="W313" s="4" t="s">
        <v>1019</v>
      </c>
      <c r="X313" s="2"/>
      <c r="Y313" s="439" t="s">
        <v>958</v>
      </c>
      <c r="Z313" s="440">
        <v>0.03</v>
      </c>
      <c r="AA313" s="487" t="s">
        <v>321</v>
      </c>
      <c r="AB313" s="442" t="s">
        <v>1020</v>
      </c>
      <c r="AC313" s="443" t="str">
        <f t="shared" si="4"/>
        <v>群馬県吉岡町</v>
      </c>
      <c r="AD313" s="464">
        <v>10.210000000000001</v>
      </c>
      <c r="AE313" s="442">
        <v>10.17</v>
      </c>
      <c r="AF313" s="463">
        <v>10.14</v>
      </c>
      <c r="AG313" s="421"/>
      <c r="AH313" s="421"/>
    </row>
    <row r="314" spans="22:34">
      <c r="V314" s="4" t="s">
        <v>299</v>
      </c>
      <c r="W314" s="4" t="s">
        <v>1021</v>
      </c>
      <c r="X314" s="2"/>
      <c r="Y314" s="439" t="s">
        <v>958</v>
      </c>
      <c r="Z314" s="440">
        <v>0.03</v>
      </c>
      <c r="AA314" s="487" t="s">
        <v>321</v>
      </c>
      <c r="AB314" s="442" t="s">
        <v>1022</v>
      </c>
      <c r="AC314" s="443" t="str">
        <f t="shared" si="4"/>
        <v>群馬県玉村町</v>
      </c>
      <c r="AD314" s="464">
        <v>10.210000000000001</v>
      </c>
      <c r="AE314" s="442">
        <v>10.17</v>
      </c>
      <c r="AF314" s="463">
        <v>10.14</v>
      </c>
      <c r="AG314" s="421"/>
      <c r="AH314" s="421"/>
    </row>
    <row r="315" spans="22:34">
      <c r="V315" s="4" t="s">
        <v>299</v>
      </c>
      <c r="W315" s="4" t="s">
        <v>1023</v>
      </c>
      <c r="X315" s="2"/>
      <c r="Y315" s="439" t="s">
        <v>958</v>
      </c>
      <c r="Z315" s="440">
        <v>0.03</v>
      </c>
      <c r="AA315" s="487" t="s">
        <v>326</v>
      </c>
      <c r="AB315" s="442" t="s">
        <v>1024</v>
      </c>
      <c r="AC315" s="443" t="str">
        <f t="shared" si="4"/>
        <v>埼玉県熊谷市</v>
      </c>
      <c r="AD315" s="464">
        <v>10.210000000000001</v>
      </c>
      <c r="AE315" s="442">
        <v>10.17</v>
      </c>
      <c r="AF315" s="463">
        <v>10.14</v>
      </c>
      <c r="AG315" s="421"/>
      <c r="AH315" s="421"/>
    </row>
    <row r="316" spans="22:34">
      <c r="V316" s="4" t="s">
        <v>299</v>
      </c>
      <c r="W316" s="4" t="s">
        <v>1025</v>
      </c>
      <c r="X316" s="2"/>
      <c r="Y316" s="439" t="s">
        <v>958</v>
      </c>
      <c r="Z316" s="440">
        <v>0.03</v>
      </c>
      <c r="AA316" s="487" t="s">
        <v>326</v>
      </c>
      <c r="AB316" s="442" t="s">
        <v>1026</v>
      </c>
      <c r="AC316" s="443" t="str">
        <f t="shared" si="4"/>
        <v>埼玉県深谷市</v>
      </c>
      <c r="AD316" s="464">
        <v>10.210000000000001</v>
      </c>
      <c r="AE316" s="442">
        <v>10.17</v>
      </c>
      <c r="AF316" s="463">
        <v>10.14</v>
      </c>
      <c r="AG316" s="421"/>
      <c r="AH316" s="421"/>
    </row>
    <row r="317" spans="22:34">
      <c r="V317" s="4" t="s">
        <v>299</v>
      </c>
      <c r="W317" s="4" t="s">
        <v>1027</v>
      </c>
      <c r="X317" s="2"/>
      <c r="Y317" s="439" t="s">
        <v>958</v>
      </c>
      <c r="Z317" s="440">
        <v>0.03</v>
      </c>
      <c r="AA317" s="487" t="s">
        <v>326</v>
      </c>
      <c r="AB317" s="442" t="s">
        <v>1028</v>
      </c>
      <c r="AC317" s="443" t="str">
        <f t="shared" si="4"/>
        <v>埼玉県日高市</v>
      </c>
      <c r="AD317" s="464">
        <v>10.210000000000001</v>
      </c>
      <c r="AE317" s="442">
        <v>10.17</v>
      </c>
      <c r="AF317" s="463">
        <v>10.14</v>
      </c>
      <c r="AG317" s="421"/>
      <c r="AH317" s="421"/>
    </row>
    <row r="318" spans="22:34">
      <c r="V318" s="4" t="s">
        <v>299</v>
      </c>
      <c r="W318" s="4" t="s">
        <v>1029</v>
      </c>
      <c r="X318" s="2"/>
      <c r="Y318" s="439" t="s">
        <v>958</v>
      </c>
      <c r="Z318" s="440">
        <v>0.03</v>
      </c>
      <c r="AA318" s="487" t="s">
        <v>326</v>
      </c>
      <c r="AB318" s="442" t="s">
        <v>1030</v>
      </c>
      <c r="AC318" s="443" t="str">
        <f t="shared" si="4"/>
        <v>埼玉県毛呂山町</v>
      </c>
      <c r="AD318" s="464">
        <v>10.210000000000001</v>
      </c>
      <c r="AE318" s="442">
        <v>10.17</v>
      </c>
      <c r="AF318" s="463">
        <v>10.14</v>
      </c>
      <c r="AG318" s="421"/>
      <c r="AH318" s="421"/>
    </row>
    <row r="319" spans="22:34">
      <c r="V319" s="4" t="s">
        <v>299</v>
      </c>
      <c r="W319" s="4" t="s">
        <v>1031</v>
      </c>
      <c r="X319" s="2"/>
      <c r="Y319" s="439" t="s">
        <v>958</v>
      </c>
      <c r="Z319" s="440">
        <v>0.03</v>
      </c>
      <c r="AA319" s="487" t="s">
        <v>326</v>
      </c>
      <c r="AB319" s="442" t="s">
        <v>1032</v>
      </c>
      <c r="AC319" s="443" t="str">
        <f t="shared" si="4"/>
        <v>埼玉県越生町</v>
      </c>
      <c r="AD319" s="464">
        <v>10.210000000000001</v>
      </c>
      <c r="AE319" s="442">
        <v>10.17</v>
      </c>
      <c r="AF319" s="463">
        <v>10.14</v>
      </c>
      <c r="AG319" s="421"/>
      <c r="AH319" s="421"/>
    </row>
    <row r="320" spans="22:34">
      <c r="V320" s="4" t="s">
        <v>299</v>
      </c>
      <c r="W320" s="4" t="s">
        <v>1033</v>
      </c>
      <c r="X320" s="2"/>
      <c r="Y320" s="439" t="s">
        <v>958</v>
      </c>
      <c r="Z320" s="440">
        <v>0.03</v>
      </c>
      <c r="AA320" s="487" t="s">
        <v>326</v>
      </c>
      <c r="AB320" s="442" t="s">
        <v>1034</v>
      </c>
      <c r="AC320" s="443" t="str">
        <f t="shared" si="4"/>
        <v>埼玉県滑川町</v>
      </c>
      <c r="AD320" s="464">
        <v>10.210000000000001</v>
      </c>
      <c r="AE320" s="442">
        <v>10.17</v>
      </c>
      <c r="AF320" s="463">
        <v>10.14</v>
      </c>
      <c r="AG320" s="421"/>
      <c r="AH320" s="421"/>
    </row>
    <row r="321" spans="22:34">
      <c r="V321" s="4" t="s">
        <v>304</v>
      </c>
      <c r="W321" s="4" t="s">
        <v>1035</v>
      </c>
      <c r="X321" s="2"/>
      <c r="Y321" s="439" t="s">
        <v>958</v>
      </c>
      <c r="Z321" s="440">
        <v>0.03</v>
      </c>
      <c r="AA321" s="487" t="s">
        <v>326</v>
      </c>
      <c r="AB321" s="442" t="s">
        <v>1036</v>
      </c>
      <c r="AC321" s="443" t="str">
        <f t="shared" si="4"/>
        <v>埼玉県川島町</v>
      </c>
      <c r="AD321" s="464">
        <v>10.210000000000001</v>
      </c>
      <c r="AE321" s="442">
        <v>10.17</v>
      </c>
      <c r="AF321" s="463">
        <v>10.14</v>
      </c>
      <c r="AG321" s="421"/>
      <c r="AH321" s="421"/>
    </row>
    <row r="322" spans="22:34">
      <c r="V322" s="4" t="s">
        <v>304</v>
      </c>
      <c r="W322" s="4" t="s">
        <v>1037</v>
      </c>
      <c r="X322" s="2"/>
      <c r="Y322" s="439" t="s">
        <v>958</v>
      </c>
      <c r="Z322" s="440">
        <v>0.03</v>
      </c>
      <c r="AA322" s="487" t="s">
        <v>326</v>
      </c>
      <c r="AB322" s="442" t="s">
        <v>1038</v>
      </c>
      <c r="AC322" s="443" t="str">
        <f t="shared" si="4"/>
        <v>埼玉県吉見町</v>
      </c>
      <c r="AD322" s="464">
        <v>10.210000000000001</v>
      </c>
      <c r="AE322" s="442">
        <v>10.17</v>
      </c>
      <c r="AF322" s="463">
        <v>10.14</v>
      </c>
      <c r="AG322" s="421"/>
      <c r="AH322" s="421"/>
    </row>
    <row r="323" spans="22:34">
      <c r="V323" s="4" t="s">
        <v>304</v>
      </c>
      <c r="W323" s="4" t="s">
        <v>1039</v>
      </c>
      <c r="X323" s="2"/>
      <c r="Y323" s="439" t="s">
        <v>958</v>
      </c>
      <c r="Z323" s="440">
        <v>0.03</v>
      </c>
      <c r="AA323" s="487" t="s">
        <v>326</v>
      </c>
      <c r="AB323" s="442" t="s">
        <v>1040</v>
      </c>
      <c r="AC323" s="443" t="str">
        <f t="shared" si="4"/>
        <v>埼玉県鳩山町</v>
      </c>
      <c r="AD323" s="464">
        <v>10.210000000000001</v>
      </c>
      <c r="AE323" s="442">
        <v>10.17</v>
      </c>
      <c r="AF323" s="463">
        <v>10.14</v>
      </c>
      <c r="AG323" s="421"/>
      <c r="AH323" s="421"/>
    </row>
    <row r="324" spans="22:34">
      <c r="V324" s="4" t="s">
        <v>304</v>
      </c>
      <c r="W324" s="4" t="s">
        <v>1041</v>
      </c>
      <c r="X324" s="2"/>
      <c r="Y324" s="439" t="s">
        <v>958</v>
      </c>
      <c r="Z324" s="440">
        <v>0.03</v>
      </c>
      <c r="AA324" s="487" t="s">
        <v>326</v>
      </c>
      <c r="AB324" s="442" t="s">
        <v>1042</v>
      </c>
      <c r="AC324" s="443" t="str">
        <f t="shared" ref="AC324:AC387" si="5">AA324&amp;AB324</f>
        <v>埼玉県寄居町</v>
      </c>
      <c r="AD324" s="464">
        <v>10.210000000000001</v>
      </c>
      <c r="AE324" s="442">
        <v>10.17</v>
      </c>
      <c r="AF324" s="463">
        <v>10.14</v>
      </c>
      <c r="AG324" s="421"/>
      <c r="AH324" s="421"/>
    </row>
    <row r="325" spans="22:34">
      <c r="V325" s="4" t="s">
        <v>304</v>
      </c>
      <c r="W325" s="4" t="s">
        <v>1043</v>
      </c>
      <c r="X325" s="2"/>
      <c r="Y325" s="439" t="s">
        <v>958</v>
      </c>
      <c r="Z325" s="440">
        <v>0.03</v>
      </c>
      <c r="AA325" s="487" t="s">
        <v>331</v>
      </c>
      <c r="AB325" s="442" t="s">
        <v>1044</v>
      </c>
      <c r="AC325" s="443" t="str">
        <f t="shared" si="5"/>
        <v>千葉県東金市</v>
      </c>
      <c r="AD325" s="464">
        <v>10.210000000000001</v>
      </c>
      <c r="AE325" s="442">
        <v>10.17</v>
      </c>
      <c r="AF325" s="463">
        <v>10.14</v>
      </c>
      <c r="AG325" s="421"/>
      <c r="AH325" s="421"/>
    </row>
    <row r="326" spans="22:34">
      <c r="V326" s="4" t="s">
        <v>304</v>
      </c>
      <c r="W326" s="4" t="s">
        <v>1045</v>
      </c>
      <c r="X326" s="2"/>
      <c r="Y326" s="439" t="s">
        <v>958</v>
      </c>
      <c r="Z326" s="440">
        <v>0.03</v>
      </c>
      <c r="AA326" s="487" t="s">
        <v>331</v>
      </c>
      <c r="AB326" s="442" t="s">
        <v>1046</v>
      </c>
      <c r="AC326" s="443" t="str">
        <f t="shared" si="5"/>
        <v>千葉県君津市</v>
      </c>
      <c r="AD326" s="464">
        <v>10.210000000000001</v>
      </c>
      <c r="AE326" s="442">
        <v>10.17</v>
      </c>
      <c r="AF326" s="463">
        <v>10.14</v>
      </c>
      <c r="AG326" s="421"/>
      <c r="AH326" s="421"/>
    </row>
    <row r="327" spans="22:34">
      <c r="V327" s="4" t="s">
        <v>304</v>
      </c>
      <c r="W327" s="4" t="s">
        <v>1047</v>
      </c>
      <c r="X327" s="2"/>
      <c r="Y327" s="439" t="s">
        <v>958</v>
      </c>
      <c r="Z327" s="440">
        <v>0.03</v>
      </c>
      <c r="AA327" s="487" t="s">
        <v>331</v>
      </c>
      <c r="AB327" s="442" t="s">
        <v>1048</v>
      </c>
      <c r="AC327" s="443" t="str">
        <f t="shared" si="5"/>
        <v>千葉県富津市</v>
      </c>
      <c r="AD327" s="464">
        <v>10.210000000000001</v>
      </c>
      <c r="AE327" s="442">
        <v>10.17</v>
      </c>
      <c r="AF327" s="463">
        <v>10.14</v>
      </c>
      <c r="AG327" s="421"/>
      <c r="AH327" s="421"/>
    </row>
    <row r="328" spans="22:34">
      <c r="V328" s="4" t="s">
        <v>304</v>
      </c>
      <c r="W328" s="4" t="s">
        <v>1049</v>
      </c>
      <c r="X328" s="2"/>
      <c r="Y328" s="439" t="s">
        <v>958</v>
      </c>
      <c r="Z328" s="440">
        <v>0.03</v>
      </c>
      <c r="AA328" s="487" t="s">
        <v>331</v>
      </c>
      <c r="AB328" s="442" t="s">
        <v>1050</v>
      </c>
      <c r="AC328" s="443" t="str">
        <f t="shared" si="5"/>
        <v>千葉県八街市</v>
      </c>
      <c r="AD328" s="464">
        <v>10.210000000000001</v>
      </c>
      <c r="AE328" s="442">
        <v>10.17</v>
      </c>
      <c r="AF328" s="463">
        <v>10.14</v>
      </c>
      <c r="AG328" s="421"/>
      <c r="AH328" s="421"/>
    </row>
    <row r="329" spans="22:34">
      <c r="V329" s="4" t="s">
        <v>304</v>
      </c>
      <c r="W329" s="4" t="s">
        <v>1051</v>
      </c>
      <c r="X329" s="2"/>
      <c r="Y329" s="439" t="s">
        <v>958</v>
      </c>
      <c r="Z329" s="440">
        <v>0.03</v>
      </c>
      <c r="AA329" s="487" t="s">
        <v>331</v>
      </c>
      <c r="AB329" s="442" t="s">
        <v>1052</v>
      </c>
      <c r="AC329" s="443" t="str">
        <f t="shared" si="5"/>
        <v>千葉県富里市</v>
      </c>
      <c r="AD329" s="464">
        <v>10.210000000000001</v>
      </c>
      <c r="AE329" s="442">
        <v>10.17</v>
      </c>
      <c r="AF329" s="463">
        <v>10.14</v>
      </c>
      <c r="AG329" s="421"/>
      <c r="AH329" s="421"/>
    </row>
    <row r="330" spans="22:34">
      <c r="V330" s="4" t="s">
        <v>304</v>
      </c>
      <c r="W330" s="4" t="s">
        <v>1053</v>
      </c>
      <c r="X330" s="2"/>
      <c r="Y330" s="439" t="s">
        <v>958</v>
      </c>
      <c r="Z330" s="440">
        <v>0.03</v>
      </c>
      <c r="AA330" s="487" t="s">
        <v>331</v>
      </c>
      <c r="AB330" s="442" t="s">
        <v>1054</v>
      </c>
      <c r="AC330" s="443" t="str">
        <f t="shared" si="5"/>
        <v>千葉県山武市</v>
      </c>
      <c r="AD330" s="464">
        <v>10.210000000000001</v>
      </c>
      <c r="AE330" s="442">
        <v>10.17</v>
      </c>
      <c r="AF330" s="463">
        <v>10.14</v>
      </c>
      <c r="AG330" s="421"/>
      <c r="AH330" s="421"/>
    </row>
    <row r="331" spans="22:34">
      <c r="V331" s="4" t="s">
        <v>304</v>
      </c>
      <c r="W331" s="4" t="s">
        <v>1055</v>
      </c>
      <c r="X331" s="2"/>
      <c r="Y331" s="439" t="s">
        <v>958</v>
      </c>
      <c r="Z331" s="440">
        <v>0.03</v>
      </c>
      <c r="AA331" s="487" t="s">
        <v>331</v>
      </c>
      <c r="AB331" s="442" t="s">
        <v>1056</v>
      </c>
      <c r="AC331" s="443" t="str">
        <f t="shared" si="5"/>
        <v>千葉県大網白里市</v>
      </c>
      <c r="AD331" s="464">
        <v>10.210000000000001</v>
      </c>
      <c r="AE331" s="442">
        <v>10.17</v>
      </c>
      <c r="AF331" s="463">
        <v>10.14</v>
      </c>
      <c r="AG331" s="421"/>
      <c r="AH331" s="421"/>
    </row>
    <row r="332" spans="22:34">
      <c r="V332" s="4" t="s">
        <v>304</v>
      </c>
      <c r="W332" s="4" t="s">
        <v>1057</v>
      </c>
      <c r="X332" s="2"/>
      <c r="Y332" s="439" t="s">
        <v>958</v>
      </c>
      <c r="Z332" s="440">
        <v>0.03</v>
      </c>
      <c r="AA332" s="487" t="s">
        <v>331</v>
      </c>
      <c r="AB332" s="442" t="s">
        <v>1058</v>
      </c>
      <c r="AC332" s="443" t="str">
        <f t="shared" si="5"/>
        <v>千葉県長柄町</v>
      </c>
      <c r="AD332" s="464">
        <v>10.210000000000001</v>
      </c>
      <c r="AE332" s="442">
        <v>10.17</v>
      </c>
      <c r="AF332" s="463">
        <v>10.14</v>
      </c>
      <c r="AG332" s="421"/>
      <c r="AH332" s="421"/>
    </row>
    <row r="333" spans="22:34">
      <c r="V333" s="4" t="s">
        <v>304</v>
      </c>
      <c r="W333" s="4" t="s">
        <v>1059</v>
      </c>
      <c r="X333" s="2"/>
      <c r="Y333" s="439" t="s">
        <v>958</v>
      </c>
      <c r="Z333" s="440">
        <v>0.03</v>
      </c>
      <c r="AA333" s="487" t="s">
        <v>331</v>
      </c>
      <c r="AB333" s="442" t="s">
        <v>1060</v>
      </c>
      <c r="AC333" s="443" t="str">
        <f t="shared" si="5"/>
        <v>千葉県長南町</v>
      </c>
      <c r="AD333" s="464">
        <v>10.210000000000001</v>
      </c>
      <c r="AE333" s="442">
        <v>10.17</v>
      </c>
      <c r="AF333" s="463">
        <v>10.14</v>
      </c>
      <c r="AG333" s="421"/>
      <c r="AH333" s="421"/>
    </row>
    <row r="334" spans="22:34">
      <c r="V334" s="4" t="s">
        <v>304</v>
      </c>
      <c r="W334" s="4" t="s">
        <v>1061</v>
      </c>
      <c r="X334" s="2"/>
      <c r="Y334" s="439" t="s">
        <v>958</v>
      </c>
      <c r="Z334" s="440">
        <v>0.03</v>
      </c>
      <c r="AA334" s="487" t="s">
        <v>338</v>
      </c>
      <c r="AB334" s="442" t="s">
        <v>1062</v>
      </c>
      <c r="AC334" s="443" t="str">
        <f t="shared" si="5"/>
        <v>神奈川県南足柄市</v>
      </c>
      <c r="AD334" s="464">
        <v>10.210000000000001</v>
      </c>
      <c r="AE334" s="442">
        <v>10.17</v>
      </c>
      <c r="AF334" s="463">
        <v>10.14</v>
      </c>
      <c r="AG334" s="421"/>
      <c r="AH334" s="421"/>
    </row>
    <row r="335" spans="22:34">
      <c r="V335" s="4" t="s">
        <v>304</v>
      </c>
      <c r="W335" s="4" t="s">
        <v>1063</v>
      </c>
      <c r="X335" s="2"/>
      <c r="Y335" s="439" t="s">
        <v>958</v>
      </c>
      <c r="Z335" s="440">
        <v>0.03</v>
      </c>
      <c r="AA335" s="487" t="s">
        <v>338</v>
      </c>
      <c r="AB335" s="442" t="s">
        <v>1064</v>
      </c>
      <c r="AC335" s="443" t="str">
        <f t="shared" si="5"/>
        <v>神奈川県山北町</v>
      </c>
      <c r="AD335" s="464">
        <v>10.210000000000001</v>
      </c>
      <c r="AE335" s="442">
        <v>10.17</v>
      </c>
      <c r="AF335" s="463">
        <v>10.14</v>
      </c>
      <c r="AG335" s="421"/>
      <c r="AH335" s="421"/>
    </row>
    <row r="336" spans="22:34">
      <c r="V336" s="4" t="s">
        <v>304</v>
      </c>
      <c r="W336" s="4" t="s">
        <v>1065</v>
      </c>
      <c r="X336" s="2"/>
      <c r="Y336" s="439" t="s">
        <v>958</v>
      </c>
      <c r="Z336" s="440">
        <v>0.03</v>
      </c>
      <c r="AA336" s="487" t="s">
        <v>338</v>
      </c>
      <c r="AB336" s="442" t="s">
        <v>1066</v>
      </c>
      <c r="AC336" s="443" t="str">
        <f t="shared" si="5"/>
        <v>神奈川県箱根町</v>
      </c>
      <c r="AD336" s="464">
        <v>10.210000000000001</v>
      </c>
      <c r="AE336" s="442">
        <v>10.17</v>
      </c>
      <c r="AF336" s="463">
        <v>10.14</v>
      </c>
      <c r="AG336" s="421"/>
      <c r="AH336" s="421"/>
    </row>
    <row r="337" spans="22:34">
      <c r="V337" s="4" t="s">
        <v>304</v>
      </c>
      <c r="W337" s="4" t="s">
        <v>1067</v>
      </c>
      <c r="X337" s="2"/>
      <c r="Y337" s="439" t="s">
        <v>958</v>
      </c>
      <c r="Z337" s="440">
        <v>0.03</v>
      </c>
      <c r="AA337" s="487" t="s">
        <v>342</v>
      </c>
      <c r="AB337" s="442" t="s">
        <v>1068</v>
      </c>
      <c r="AC337" s="443" t="str">
        <f t="shared" si="5"/>
        <v>新潟県新潟市</v>
      </c>
      <c r="AD337" s="464">
        <v>10.210000000000001</v>
      </c>
      <c r="AE337" s="442">
        <v>10.17</v>
      </c>
      <c r="AF337" s="463">
        <v>10.14</v>
      </c>
      <c r="AG337" s="421"/>
      <c r="AH337" s="421"/>
    </row>
    <row r="338" spans="22:34">
      <c r="V338" s="4" t="s">
        <v>304</v>
      </c>
      <c r="W338" s="4" t="s">
        <v>1069</v>
      </c>
      <c r="X338" s="2"/>
      <c r="Y338" s="439" t="s">
        <v>958</v>
      </c>
      <c r="Z338" s="440">
        <v>0.03</v>
      </c>
      <c r="AA338" s="487" t="s">
        <v>346</v>
      </c>
      <c r="AB338" s="442" t="s">
        <v>1070</v>
      </c>
      <c r="AC338" s="443" t="str">
        <f t="shared" si="5"/>
        <v>富山県富山市</v>
      </c>
      <c r="AD338" s="464">
        <v>10.210000000000001</v>
      </c>
      <c r="AE338" s="442">
        <v>10.17</v>
      </c>
      <c r="AF338" s="463">
        <v>10.14</v>
      </c>
      <c r="AG338" s="421"/>
      <c r="AH338" s="421"/>
    </row>
    <row r="339" spans="22:34">
      <c r="V339" s="4" t="s">
        <v>304</v>
      </c>
      <c r="W339" s="4" t="s">
        <v>1071</v>
      </c>
      <c r="X339" s="2"/>
      <c r="Y339" s="439" t="s">
        <v>958</v>
      </c>
      <c r="Z339" s="440">
        <v>0.03</v>
      </c>
      <c r="AA339" s="487" t="s">
        <v>350</v>
      </c>
      <c r="AB339" s="442" t="s">
        <v>1072</v>
      </c>
      <c r="AC339" s="443" t="str">
        <f t="shared" si="5"/>
        <v>石川県金沢市</v>
      </c>
      <c r="AD339" s="464">
        <v>10.210000000000001</v>
      </c>
      <c r="AE339" s="442">
        <v>10.17</v>
      </c>
      <c r="AF339" s="463">
        <v>10.14</v>
      </c>
      <c r="AG339" s="421"/>
      <c r="AH339" s="421"/>
    </row>
    <row r="340" spans="22:34">
      <c r="V340" s="4" t="s">
        <v>304</v>
      </c>
      <c r="W340" s="4" t="s">
        <v>1073</v>
      </c>
      <c r="X340" s="2"/>
      <c r="Y340" s="439" t="s">
        <v>958</v>
      </c>
      <c r="Z340" s="440">
        <v>0.03</v>
      </c>
      <c r="AA340" s="487" t="s">
        <v>350</v>
      </c>
      <c r="AB340" s="442" t="s">
        <v>1074</v>
      </c>
      <c r="AC340" s="443" t="str">
        <f t="shared" si="5"/>
        <v>石川県内灘町</v>
      </c>
      <c r="AD340" s="464">
        <v>10.210000000000001</v>
      </c>
      <c r="AE340" s="442">
        <v>10.17</v>
      </c>
      <c r="AF340" s="463">
        <v>10.14</v>
      </c>
      <c r="AG340" s="421"/>
      <c r="AH340" s="421"/>
    </row>
    <row r="341" spans="22:34">
      <c r="V341" s="4" t="s">
        <v>304</v>
      </c>
      <c r="W341" s="4" t="s">
        <v>1075</v>
      </c>
      <c r="X341" s="2"/>
      <c r="Y341" s="439" t="s">
        <v>958</v>
      </c>
      <c r="Z341" s="440">
        <v>0.03</v>
      </c>
      <c r="AA341" s="487" t="s">
        <v>354</v>
      </c>
      <c r="AB341" s="442" t="s">
        <v>1076</v>
      </c>
      <c r="AC341" s="443" t="str">
        <f t="shared" si="5"/>
        <v>福井県福井市</v>
      </c>
      <c r="AD341" s="464">
        <v>10.210000000000001</v>
      </c>
      <c r="AE341" s="442">
        <v>10.17</v>
      </c>
      <c r="AF341" s="463">
        <v>10.14</v>
      </c>
      <c r="AG341" s="421"/>
      <c r="AH341" s="421"/>
    </row>
    <row r="342" spans="22:34">
      <c r="V342" s="4" t="s">
        <v>304</v>
      </c>
      <c r="W342" s="4" t="s">
        <v>1077</v>
      </c>
      <c r="X342" s="2"/>
      <c r="Y342" s="439" t="s">
        <v>958</v>
      </c>
      <c r="Z342" s="440">
        <v>0.03</v>
      </c>
      <c r="AA342" s="487" t="s">
        <v>359</v>
      </c>
      <c r="AB342" s="442" t="s">
        <v>1078</v>
      </c>
      <c r="AC342" s="443" t="str">
        <f t="shared" si="5"/>
        <v>山梨県甲府市</v>
      </c>
      <c r="AD342" s="464">
        <v>10.210000000000001</v>
      </c>
      <c r="AE342" s="442">
        <v>10.17</v>
      </c>
      <c r="AF342" s="463">
        <v>10.14</v>
      </c>
      <c r="AG342" s="421"/>
      <c r="AH342" s="421"/>
    </row>
    <row r="343" spans="22:34">
      <c r="V343" s="4" t="s">
        <v>304</v>
      </c>
      <c r="W343" s="4" t="s">
        <v>1079</v>
      </c>
      <c r="X343" s="2"/>
      <c r="Y343" s="439" t="s">
        <v>958</v>
      </c>
      <c r="Z343" s="440">
        <v>0.03</v>
      </c>
      <c r="AA343" s="487" t="s">
        <v>359</v>
      </c>
      <c r="AB343" s="442" t="s">
        <v>1080</v>
      </c>
      <c r="AC343" s="443" t="str">
        <f t="shared" si="5"/>
        <v>山梨県南アルプス市</v>
      </c>
      <c r="AD343" s="464">
        <v>10.210000000000001</v>
      </c>
      <c r="AE343" s="442">
        <v>10.17</v>
      </c>
      <c r="AF343" s="463">
        <v>10.14</v>
      </c>
      <c r="AG343" s="421"/>
      <c r="AH343" s="421"/>
    </row>
    <row r="344" spans="22:34">
      <c r="V344" s="4" t="s">
        <v>304</v>
      </c>
      <c r="W344" s="4" t="s">
        <v>1081</v>
      </c>
      <c r="X344" s="2"/>
      <c r="Y344" s="439" t="s">
        <v>958</v>
      </c>
      <c r="Z344" s="440">
        <v>0.03</v>
      </c>
      <c r="AA344" s="487" t="s">
        <v>359</v>
      </c>
      <c r="AB344" s="442" t="s">
        <v>1082</v>
      </c>
      <c r="AC344" s="443" t="str">
        <f t="shared" si="5"/>
        <v>山梨県南部町</v>
      </c>
      <c r="AD344" s="464">
        <v>10.210000000000001</v>
      </c>
      <c r="AE344" s="442">
        <v>10.17</v>
      </c>
      <c r="AF344" s="463">
        <v>10.14</v>
      </c>
      <c r="AG344" s="421"/>
      <c r="AH344" s="421"/>
    </row>
    <row r="345" spans="22:34">
      <c r="V345" s="4" t="s">
        <v>304</v>
      </c>
      <c r="W345" s="4" t="s">
        <v>1083</v>
      </c>
      <c r="X345" s="2"/>
      <c r="Y345" s="439" t="s">
        <v>958</v>
      </c>
      <c r="Z345" s="440">
        <v>0.03</v>
      </c>
      <c r="AA345" s="487" t="s">
        <v>363</v>
      </c>
      <c r="AB345" s="442" t="s">
        <v>1084</v>
      </c>
      <c r="AC345" s="443" t="str">
        <f t="shared" si="5"/>
        <v>長野県長野市</v>
      </c>
      <c r="AD345" s="464">
        <v>10.210000000000001</v>
      </c>
      <c r="AE345" s="442">
        <v>10.17</v>
      </c>
      <c r="AF345" s="463">
        <v>10.14</v>
      </c>
      <c r="AG345" s="421"/>
      <c r="AH345" s="421"/>
    </row>
    <row r="346" spans="22:34">
      <c r="V346" s="4" t="s">
        <v>304</v>
      </c>
      <c r="W346" s="4" t="s">
        <v>1085</v>
      </c>
      <c r="X346" s="2"/>
      <c r="Y346" s="439" t="s">
        <v>958</v>
      </c>
      <c r="Z346" s="440">
        <v>0.03</v>
      </c>
      <c r="AA346" s="487" t="s">
        <v>363</v>
      </c>
      <c r="AB346" s="442" t="s">
        <v>1086</v>
      </c>
      <c r="AC346" s="443" t="str">
        <f t="shared" si="5"/>
        <v>長野県松本市</v>
      </c>
      <c r="AD346" s="464">
        <v>10.210000000000001</v>
      </c>
      <c r="AE346" s="442">
        <v>10.17</v>
      </c>
      <c r="AF346" s="463">
        <v>10.14</v>
      </c>
      <c r="AG346" s="421"/>
      <c r="AH346" s="421"/>
    </row>
    <row r="347" spans="22:34">
      <c r="V347" s="4" t="s">
        <v>304</v>
      </c>
      <c r="W347" s="4" t="s">
        <v>1087</v>
      </c>
      <c r="X347" s="2"/>
      <c r="Y347" s="439" t="s">
        <v>958</v>
      </c>
      <c r="Z347" s="440">
        <v>0.03</v>
      </c>
      <c r="AA347" s="487" t="s">
        <v>363</v>
      </c>
      <c r="AB347" s="442" t="s">
        <v>1088</v>
      </c>
      <c r="AC347" s="443" t="str">
        <f t="shared" si="5"/>
        <v>長野県塩尻市</v>
      </c>
      <c r="AD347" s="464">
        <v>10.210000000000001</v>
      </c>
      <c r="AE347" s="442">
        <v>10.17</v>
      </c>
      <c r="AF347" s="463">
        <v>10.14</v>
      </c>
      <c r="AG347" s="421"/>
      <c r="AH347" s="421"/>
    </row>
    <row r="348" spans="22:34">
      <c r="V348" s="4" t="s">
        <v>304</v>
      </c>
      <c r="W348" s="4" t="s">
        <v>1089</v>
      </c>
      <c r="X348" s="2"/>
      <c r="Y348" s="439" t="s">
        <v>958</v>
      </c>
      <c r="Z348" s="440">
        <v>0.03</v>
      </c>
      <c r="AA348" s="487" t="s">
        <v>368</v>
      </c>
      <c r="AB348" s="442" t="s">
        <v>1090</v>
      </c>
      <c r="AC348" s="443" t="str">
        <f t="shared" si="5"/>
        <v>岐阜県大垣市</v>
      </c>
      <c r="AD348" s="464">
        <v>10.210000000000001</v>
      </c>
      <c r="AE348" s="442">
        <v>10.17</v>
      </c>
      <c r="AF348" s="463">
        <v>10.14</v>
      </c>
      <c r="AG348" s="421"/>
      <c r="AH348" s="421"/>
    </row>
    <row r="349" spans="22:34">
      <c r="V349" s="4" t="s">
        <v>304</v>
      </c>
      <c r="W349" s="4" t="s">
        <v>1091</v>
      </c>
      <c r="X349" s="2"/>
      <c r="Y349" s="439" t="s">
        <v>958</v>
      </c>
      <c r="Z349" s="440">
        <v>0.03</v>
      </c>
      <c r="AA349" s="487" t="s">
        <v>368</v>
      </c>
      <c r="AB349" s="442" t="s">
        <v>1092</v>
      </c>
      <c r="AC349" s="443" t="str">
        <f t="shared" si="5"/>
        <v>岐阜県多治見市</v>
      </c>
      <c r="AD349" s="464">
        <v>10.210000000000001</v>
      </c>
      <c r="AE349" s="442">
        <v>10.17</v>
      </c>
      <c r="AF349" s="463">
        <v>10.14</v>
      </c>
      <c r="AG349" s="421"/>
      <c r="AH349" s="421"/>
    </row>
    <row r="350" spans="22:34">
      <c r="V350" s="4" t="s">
        <v>304</v>
      </c>
      <c r="W350" s="4" t="s">
        <v>1093</v>
      </c>
      <c r="X350" s="2"/>
      <c r="Y350" s="439" t="s">
        <v>958</v>
      </c>
      <c r="Z350" s="440">
        <v>0.03</v>
      </c>
      <c r="AA350" s="487" t="s">
        <v>368</v>
      </c>
      <c r="AB350" s="442" t="s">
        <v>1094</v>
      </c>
      <c r="AC350" s="443" t="str">
        <f t="shared" si="5"/>
        <v>岐阜県美濃加茂市</v>
      </c>
      <c r="AD350" s="464">
        <v>10.210000000000001</v>
      </c>
      <c r="AE350" s="442">
        <v>10.17</v>
      </c>
      <c r="AF350" s="463">
        <v>10.14</v>
      </c>
      <c r="AG350" s="421"/>
      <c r="AH350" s="421"/>
    </row>
    <row r="351" spans="22:34">
      <c r="V351" s="4" t="s">
        <v>304</v>
      </c>
      <c r="W351" s="4" t="s">
        <v>1095</v>
      </c>
      <c r="X351" s="2"/>
      <c r="Y351" s="439" t="s">
        <v>958</v>
      </c>
      <c r="Z351" s="440">
        <v>0.03</v>
      </c>
      <c r="AA351" s="487" t="s">
        <v>368</v>
      </c>
      <c r="AB351" s="442" t="s">
        <v>1096</v>
      </c>
      <c r="AC351" s="443" t="str">
        <f t="shared" si="5"/>
        <v>岐阜県各務原市</v>
      </c>
      <c r="AD351" s="464">
        <v>10.210000000000001</v>
      </c>
      <c r="AE351" s="442">
        <v>10.17</v>
      </c>
      <c r="AF351" s="463">
        <v>10.14</v>
      </c>
      <c r="AG351" s="421"/>
      <c r="AH351" s="421"/>
    </row>
    <row r="352" spans="22:34">
      <c r="V352" s="4" t="s">
        <v>304</v>
      </c>
      <c r="W352" s="4" t="s">
        <v>1097</v>
      </c>
      <c r="X352" s="2"/>
      <c r="Y352" s="439" t="s">
        <v>958</v>
      </c>
      <c r="Z352" s="440">
        <v>0.03</v>
      </c>
      <c r="AA352" s="487" t="s">
        <v>368</v>
      </c>
      <c r="AB352" s="442" t="s">
        <v>1098</v>
      </c>
      <c r="AC352" s="443" t="str">
        <f t="shared" si="5"/>
        <v>岐阜県可児市</v>
      </c>
      <c r="AD352" s="464">
        <v>10.210000000000001</v>
      </c>
      <c r="AE352" s="442">
        <v>10.17</v>
      </c>
      <c r="AF352" s="463">
        <v>10.14</v>
      </c>
      <c r="AG352" s="421"/>
      <c r="AH352" s="421"/>
    </row>
    <row r="353" spans="22:34">
      <c r="V353" s="4" t="s">
        <v>304</v>
      </c>
      <c r="W353" s="4" t="s">
        <v>1099</v>
      </c>
      <c r="X353" s="2"/>
      <c r="Y353" s="439" t="s">
        <v>958</v>
      </c>
      <c r="Z353" s="440">
        <v>0.03</v>
      </c>
      <c r="AA353" s="487" t="s">
        <v>372</v>
      </c>
      <c r="AB353" s="442" t="s">
        <v>1100</v>
      </c>
      <c r="AC353" s="443" t="str">
        <f t="shared" si="5"/>
        <v>静岡県浜松市</v>
      </c>
      <c r="AD353" s="464">
        <v>10.210000000000001</v>
      </c>
      <c r="AE353" s="442">
        <v>10.17</v>
      </c>
      <c r="AF353" s="463">
        <v>10.14</v>
      </c>
      <c r="AG353" s="421"/>
      <c r="AH353" s="421"/>
    </row>
    <row r="354" spans="22:34">
      <c r="V354" s="4" t="s">
        <v>304</v>
      </c>
      <c r="W354" s="4" t="s">
        <v>1101</v>
      </c>
      <c r="X354" s="2"/>
      <c r="Y354" s="439" t="s">
        <v>958</v>
      </c>
      <c r="Z354" s="440">
        <v>0.03</v>
      </c>
      <c r="AA354" s="487" t="s">
        <v>372</v>
      </c>
      <c r="AB354" s="442" t="s">
        <v>1102</v>
      </c>
      <c r="AC354" s="443" t="str">
        <f t="shared" si="5"/>
        <v>静岡県沼津市</v>
      </c>
      <c r="AD354" s="464">
        <v>10.210000000000001</v>
      </c>
      <c r="AE354" s="442">
        <v>10.17</v>
      </c>
      <c r="AF354" s="463">
        <v>10.14</v>
      </c>
      <c r="AG354" s="421"/>
      <c r="AH354" s="421"/>
    </row>
    <row r="355" spans="22:34">
      <c r="V355" s="4" t="s">
        <v>304</v>
      </c>
      <c r="W355" s="4" t="s">
        <v>1103</v>
      </c>
      <c r="X355" s="2"/>
      <c r="Y355" s="439" t="s">
        <v>958</v>
      </c>
      <c r="Z355" s="440">
        <v>0.03</v>
      </c>
      <c r="AA355" s="487" t="s">
        <v>372</v>
      </c>
      <c r="AB355" s="442" t="s">
        <v>1104</v>
      </c>
      <c r="AC355" s="443" t="str">
        <f t="shared" si="5"/>
        <v>静岡県三島市</v>
      </c>
      <c r="AD355" s="464">
        <v>10.210000000000001</v>
      </c>
      <c r="AE355" s="442">
        <v>10.17</v>
      </c>
      <c r="AF355" s="463">
        <v>10.14</v>
      </c>
      <c r="AG355" s="421"/>
      <c r="AH355" s="421"/>
    </row>
    <row r="356" spans="22:34">
      <c r="V356" s="4" t="s">
        <v>308</v>
      </c>
      <c r="W356" s="4" t="s">
        <v>1105</v>
      </c>
      <c r="X356" s="2"/>
      <c r="Y356" s="439" t="s">
        <v>958</v>
      </c>
      <c r="Z356" s="440">
        <v>0.03</v>
      </c>
      <c r="AA356" s="487" t="s">
        <v>372</v>
      </c>
      <c r="AB356" s="442" t="s">
        <v>1106</v>
      </c>
      <c r="AC356" s="443" t="str">
        <f t="shared" si="5"/>
        <v>静岡県富士宮市</v>
      </c>
      <c r="AD356" s="464">
        <v>10.210000000000001</v>
      </c>
      <c r="AE356" s="442">
        <v>10.17</v>
      </c>
      <c r="AF356" s="463">
        <v>10.14</v>
      </c>
      <c r="AG356" s="421"/>
      <c r="AH356" s="421"/>
    </row>
    <row r="357" spans="22:34">
      <c r="V357" s="4" t="s">
        <v>308</v>
      </c>
      <c r="W357" s="4" t="s">
        <v>1107</v>
      </c>
      <c r="X357" s="2"/>
      <c r="Y357" s="439" t="s">
        <v>958</v>
      </c>
      <c r="Z357" s="440">
        <v>0.03</v>
      </c>
      <c r="AA357" s="487" t="s">
        <v>372</v>
      </c>
      <c r="AB357" s="442" t="s">
        <v>1108</v>
      </c>
      <c r="AC357" s="443" t="str">
        <f t="shared" si="5"/>
        <v>静岡県島田市</v>
      </c>
      <c r="AD357" s="464">
        <v>10.210000000000001</v>
      </c>
      <c r="AE357" s="442">
        <v>10.17</v>
      </c>
      <c r="AF357" s="463">
        <v>10.14</v>
      </c>
      <c r="AG357" s="421"/>
      <c r="AH357" s="421"/>
    </row>
    <row r="358" spans="22:34">
      <c r="V358" s="4" t="s">
        <v>308</v>
      </c>
      <c r="W358" s="4" t="s">
        <v>1109</v>
      </c>
      <c r="X358" s="2"/>
      <c r="Y358" s="439" t="s">
        <v>958</v>
      </c>
      <c r="Z358" s="440">
        <v>0.03</v>
      </c>
      <c r="AA358" s="487" t="s">
        <v>372</v>
      </c>
      <c r="AB358" s="442" t="s">
        <v>1110</v>
      </c>
      <c r="AC358" s="443" t="str">
        <f t="shared" si="5"/>
        <v>静岡県富士市</v>
      </c>
      <c r="AD358" s="464">
        <v>10.210000000000001</v>
      </c>
      <c r="AE358" s="442">
        <v>10.17</v>
      </c>
      <c r="AF358" s="463">
        <v>10.14</v>
      </c>
      <c r="AG358" s="421"/>
      <c r="AH358" s="421"/>
    </row>
    <row r="359" spans="22:34">
      <c r="V359" s="4" t="s">
        <v>308</v>
      </c>
      <c r="W359" s="4" t="s">
        <v>1111</v>
      </c>
      <c r="X359" s="2"/>
      <c r="Y359" s="439" t="s">
        <v>958</v>
      </c>
      <c r="Z359" s="440">
        <v>0.03</v>
      </c>
      <c r="AA359" s="487" t="s">
        <v>372</v>
      </c>
      <c r="AB359" s="442" t="s">
        <v>1112</v>
      </c>
      <c r="AC359" s="443" t="str">
        <f t="shared" si="5"/>
        <v>静岡県磐田市</v>
      </c>
      <c r="AD359" s="464">
        <v>10.210000000000001</v>
      </c>
      <c r="AE359" s="442">
        <v>10.17</v>
      </c>
      <c r="AF359" s="463">
        <v>10.14</v>
      </c>
      <c r="AG359" s="421"/>
      <c r="AH359" s="421"/>
    </row>
    <row r="360" spans="22:34">
      <c r="V360" s="4" t="s">
        <v>308</v>
      </c>
      <c r="W360" s="4" t="s">
        <v>1113</v>
      </c>
      <c r="X360" s="2"/>
      <c r="Y360" s="439" t="s">
        <v>958</v>
      </c>
      <c r="Z360" s="440">
        <v>0.03</v>
      </c>
      <c r="AA360" s="487" t="s">
        <v>372</v>
      </c>
      <c r="AB360" s="442" t="s">
        <v>1114</v>
      </c>
      <c r="AC360" s="443" t="str">
        <f t="shared" si="5"/>
        <v>静岡県焼津市</v>
      </c>
      <c r="AD360" s="464">
        <v>10.210000000000001</v>
      </c>
      <c r="AE360" s="442">
        <v>10.17</v>
      </c>
      <c r="AF360" s="463">
        <v>10.14</v>
      </c>
      <c r="AG360" s="421"/>
      <c r="AH360" s="421"/>
    </row>
    <row r="361" spans="22:34">
      <c r="V361" s="4" t="s">
        <v>308</v>
      </c>
      <c r="W361" s="4" t="s">
        <v>1115</v>
      </c>
      <c r="X361" s="2"/>
      <c r="Y361" s="439" t="s">
        <v>958</v>
      </c>
      <c r="Z361" s="440">
        <v>0.03</v>
      </c>
      <c r="AA361" s="487" t="s">
        <v>372</v>
      </c>
      <c r="AB361" s="442" t="s">
        <v>1116</v>
      </c>
      <c r="AC361" s="443" t="str">
        <f t="shared" si="5"/>
        <v>静岡県掛川市</v>
      </c>
      <c r="AD361" s="464">
        <v>10.210000000000001</v>
      </c>
      <c r="AE361" s="442">
        <v>10.17</v>
      </c>
      <c r="AF361" s="463">
        <v>10.14</v>
      </c>
      <c r="AG361" s="421"/>
      <c r="AH361" s="421"/>
    </row>
    <row r="362" spans="22:34">
      <c r="V362" s="4" t="s">
        <v>308</v>
      </c>
      <c r="W362" s="4" t="s">
        <v>1117</v>
      </c>
      <c r="X362" s="2"/>
      <c r="Y362" s="439" t="s">
        <v>958</v>
      </c>
      <c r="Z362" s="440">
        <v>0.03</v>
      </c>
      <c r="AA362" s="487" t="s">
        <v>372</v>
      </c>
      <c r="AB362" s="442" t="s">
        <v>1118</v>
      </c>
      <c r="AC362" s="443" t="str">
        <f t="shared" si="5"/>
        <v>静岡県藤枝市</v>
      </c>
      <c r="AD362" s="464">
        <v>10.210000000000001</v>
      </c>
      <c r="AE362" s="442">
        <v>10.17</v>
      </c>
      <c r="AF362" s="463">
        <v>10.14</v>
      </c>
      <c r="AG362" s="421"/>
      <c r="AH362" s="421"/>
    </row>
    <row r="363" spans="22:34">
      <c r="V363" s="4" t="s">
        <v>308</v>
      </c>
      <c r="W363" s="4" t="s">
        <v>1119</v>
      </c>
      <c r="X363" s="2"/>
      <c r="Y363" s="439" t="s">
        <v>958</v>
      </c>
      <c r="Z363" s="440">
        <v>0.03</v>
      </c>
      <c r="AA363" s="487" t="s">
        <v>372</v>
      </c>
      <c r="AB363" s="442" t="s">
        <v>1120</v>
      </c>
      <c r="AC363" s="443" t="str">
        <f t="shared" si="5"/>
        <v>静岡県御殿場市</v>
      </c>
      <c r="AD363" s="464">
        <v>10.210000000000001</v>
      </c>
      <c r="AE363" s="442">
        <v>10.17</v>
      </c>
      <c r="AF363" s="463">
        <v>10.14</v>
      </c>
      <c r="AG363" s="421"/>
      <c r="AH363" s="421"/>
    </row>
    <row r="364" spans="22:34">
      <c r="V364" s="4" t="s">
        <v>308</v>
      </c>
      <c r="W364" s="4" t="s">
        <v>1121</v>
      </c>
      <c r="X364" s="2"/>
      <c r="Y364" s="439" t="s">
        <v>958</v>
      </c>
      <c r="Z364" s="440">
        <v>0.03</v>
      </c>
      <c r="AA364" s="487" t="s">
        <v>372</v>
      </c>
      <c r="AB364" s="442" t="s">
        <v>1122</v>
      </c>
      <c r="AC364" s="443" t="str">
        <f t="shared" si="5"/>
        <v>静岡県袋井市</v>
      </c>
      <c r="AD364" s="464">
        <v>10.210000000000001</v>
      </c>
      <c r="AE364" s="442">
        <v>10.17</v>
      </c>
      <c r="AF364" s="463">
        <v>10.14</v>
      </c>
      <c r="AG364" s="421"/>
      <c r="AH364" s="421"/>
    </row>
    <row r="365" spans="22:34">
      <c r="V365" s="4" t="s">
        <v>308</v>
      </c>
      <c r="W365" s="4" t="s">
        <v>1123</v>
      </c>
      <c r="X365" s="2"/>
      <c r="Y365" s="439" t="s">
        <v>958</v>
      </c>
      <c r="Z365" s="440">
        <v>0.03</v>
      </c>
      <c r="AA365" s="487" t="s">
        <v>372</v>
      </c>
      <c r="AB365" s="442" t="s">
        <v>1124</v>
      </c>
      <c r="AC365" s="443" t="str">
        <f t="shared" si="5"/>
        <v>静岡県裾野市</v>
      </c>
      <c r="AD365" s="464">
        <v>10.210000000000001</v>
      </c>
      <c r="AE365" s="442">
        <v>10.17</v>
      </c>
      <c r="AF365" s="463">
        <v>10.14</v>
      </c>
      <c r="AG365" s="421"/>
      <c r="AH365" s="421"/>
    </row>
    <row r="366" spans="22:34">
      <c r="V366" s="4" t="s">
        <v>308</v>
      </c>
      <c r="W366" s="4" t="s">
        <v>1125</v>
      </c>
      <c r="X366" s="2"/>
      <c r="Y366" s="439" t="s">
        <v>958</v>
      </c>
      <c r="Z366" s="440">
        <v>0.03</v>
      </c>
      <c r="AA366" s="487" t="s">
        <v>372</v>
      </c>
      <c r="AB366" s="442" t="s">
        <v>1126</v>
      </c>
      <c r="AC366" s="443" t="str">
        <f t="shared" si="5"/>
        <v>静岡県函南町</v>
      </c>
      <c r="AD366" s="464">
        <v>10.210000000000001</v>
      </c>
      <c r="AE366" s="442">
        <v>10.17</v>
      </c>
      <c r="AF366" s="463">
        <v>10.14</v>
      </c>
      <c r="AG366" s="421"/>
      <c r="AH366" s="421"/>
    </row>
    <row r="367" spans="22:34">
      <c r="V367" s="4" t="s">
        <v>308</v>
      </c>
      <c r="W367" s="4" t="s">
        <v>418</v>
      </c>
      <c r="X367" s="2"/>
      <c r="Y367" s="439" t="s">
        <v>958</v>
      </c>
      <c r="Z367" s="440">
        <v>0.03</v>
      </c>
      <c r="AA367" s="487" t="s">
        <v>372</v>
      </c>
      <c r="AB367" s="442" t="s">
        <v>1127</v>
      </c>
      <c r="AC367" s="443" t="str">
        <f t="shared" si="5"/>
        <v>静岡県清水町</v>
      </c>
      <c r="AD367" s="464">
        <v>10.210000000000001</v>
      </c>
      <c r="AE367" s="442">
        <v>10.17</v>
      </c>
      <c r="AF367" s="463">
        <v>10.14</v>
      </c>
      <c r="AG367" s="421"/>
      <c r="AH367" s="421"/>
    </row>
    <row r="368" spans="22:34">
      <c r="V368" s="4" t="s">
        <v>308</v>
      </c>
      <c r="W368" s="4" t="s">
        <v>1128</v>
      </c>
      <c r="X368" s="2"/>
      <c r="Y368" s="439" t="s">
        <v>958</v>
      </c>
      <c r="Z368" s="440">
        <v>0.03</v>
      </c>
      <c r="AA368" s="487" t="s">
        <v>372</v>
      </c>
      <c r="AB368" s="442" t="s">
        <v>1129</v>
      </c>
      <c r="AC368" s="443" t="str">
        <f t="shared" si="5"/>
        <v>静岡県長泉町</v>
      </c>
      <c r="AD368" s="464">
        <v>10.210000000000001</v>
      </c>
      <c r="AE368" s="442">
        <v>10.17</v>
      </c>
      <c r="AF368" s="463">
        <v>10.14</v>
      </c>
      <c r="AG368" s="421"/>
      <c r="AH368" s="421"/>
    </row>
    <row r="369" spans="22:34">
      <c r="V369" s="4" t="s">
        <v>308</v>
      </c>
      <c r="W369" s="4" t="s">
        <v>1130</v>
      </c>
      <c r="X369" s="2"/>
      <c r="Y369" s="439" t="s">
        <v>958</v>
      </c>
      <c r="Z369" s="440">
        <v>0.03</v>
      </c>
      <c r="AA369" s="487" t="s">
        <v>372</v>
      </c>
      <c r="AB369" s="442" t="s">
        <v>1131</v>
      </c>
      <c r="AC369" s="443" t="str">
        <f t="shared" si="5"/>
        <v>静岡県小山町</v>
      </c>
      <c r="AD369" s="464">
        <v>10.210000000000001</v>
      </c>
      <c r="AE369" s="442">
        <v>10.17</v>
      </c>
      <c r="AF369" s="463">
        <v>10.14</v>
      </c>
      <c r="AG369" s="421"/>
      <c r="AH369" s="421"/>
    </row>
    <row r="370" spans="22:34">
      <c r="V370" s="4" t="s">
        <v>308</v>
      </c>
      <c r="W370" s="4" t="s">
        <v>1132</v>
      </c>
      <c r="X370" s="2"/>
      <c r="Y370" s="439" t="s">
        <v>958</v>
      </c>
      <c r="Z370" s="440">
        <v>0.03</v>
      </c>
      <c r="AA370" s="487" t="s">
        <v>372</v>
      </c>
      <c r="AB370" s="442" t="s">
        <v>1133</v>
      </c>
      <c r="AC370" s="443" t="str">
        <f t="shared" si="5"/>
        <v>静岡県川根本町</v>
      </c>
      <c r="AD370" s="464">
        <v>10.210000000000001</v>
      </c>
      <c r="AE370" s="442">
        <v>10.17</v>
      </c>
      <c r="AF370" s="463">
        <v>10.14</v>
      </c>
      <c r="AG370" s="421"/>
      <c r="AH370" s="421"/>
    </row>
    <row r="371" spans="22:34">
      <c r="V371" s="4" t="s">
        <v>308</v>
      </c>
      <c r="W371" s="4" t="s">
        <v>1134</v>
      </c>
      <c r="X371" s="2"/>
      <c r="Y371" s="439" t="s">
        <v>958</v>
      </c>
      <c r="Z371" s="440">
        <v>0.03</v>
      </c>
      <c r="AA371" s="487" t="s">
        <v>372</v>
      </c>
      <c r="AB371" s="442" t="s">
        <v>1135</v>
      </c>
      <c r="AC371" s="443" t="str">
        <f t="shared" si="5"/>
        <v>静岡県森町</v>
      </c>
      <c r="AD371" s="464">
        <v>10.210000000000001</v>
      </c>
      <c r="AE371" s="442">
        <v>10.17</v>
      </c>
      <c r="AF371" s="463">
        <v>10.14</v>
      </c>
      <c r="AG371" s="421"/>
      <c r="AH371" s="421"/>
    </row>
    <row r="372" spans="22:34">
      <c r="V372" s="4" t="s">
        <v>308</v>
      </c>
      <c r="W372" s="4" t="s">
        <v>1136</v>
      </c>
      <c r="X372" s="2"/>
      <c r="Y372" s="439" t="s">
        <v>958</v>
      </c>
      <c r="Z372" s="440">
        <v>0.03</v>
      </c>
      <c r="AA372" s="487" t="s">
        <v>376</v>
      </c>
      <c r="AB372" s="442" t="s">
        <v>1137</v>
      </c>
      <c r="AC372" s="443" t="str">
        <f t="shared" si="5"/>
        <v>愛知県豊橋市</v>
      </c>
      <c r="AD372" s="464">
        <v>10.210000000000001</v>
      </c>
      <c r="AE372" s="442">
        <v>10.17</v>
      </c>
      <c r="AF372" s="463">
        <v>10.14</v>
      </c>
      <c r="AG372" s="421"/>
      <c r="AH372" s="421"/>
    </row>
    <row r="373" spans="22:34">
      <c r="V373" s="4" t="s">
        <v>308</v>
      </c>
      <c r="W373" s="4" t="s">
        <v>1138</v>
      </c>
      <c r="X373" s="2"/>
      <c r="Y373" s="439" t="s">
        <v>958</v>
      </c>
      <c r="Z373" s="440">
        <v>0.03</v>
      </c>
      <c r="AA373" s="487" t="s">
        <v>376</v>
      </c>
      <c r="AB373" s="442" t="s">
        <v>1139</v>
      </c>
      <c r="AC373" s="443" t="str">
        <f t="shared" si="5"/>
        <v>愛知県半田市</v>
      </c>
      <c r="AD373" s="464">
        <v>10.210000000000001</v>
      </c>
      <c r="AE373" s="442">
        <v>10.17</v>
      </c>
      <c r="AF373" s="463">
        <v>10.14</v>
      </c>
      <c r="AG373" s="421"/>
      <c r="AH373" s="421"/>
    </row>
    <row r="374" spans="22:34">
      <c r="V374" s="4" t="s">
        <v>308</v>
      </c>
      <c r="W374" s="4" t="s">
        <v>1140</v>
      </c>
      <c r="X374" s="2"/>
      <c r="Y374" s="439" t="s">
        <v>958</v>
      </c>
      <c r="Z374" s="440">
        <v>0.03</v>
      </c>
      <c r="AA374" s="487" t="s">
        <v>376</v>
      </c>
      <c r="AB374" s="442" t="s">
        <v>1141</v>
      </c>
      <c r="AC374" s="443" t="str">
        <f t="shared" si="5"/>
        <v>愛知県豊川市</v>
      </c>
      <c r="AD374" s="464">
        <v>10.210000000000001</v>
      </c>
      <c r="AE374" s="442">
        <v>10.17</v>
      </c>
      <c r="AF374" s="463">
        <v>10.14</v>
      </c>
      <c r="AG374" s="421"/>
      <c r="AH374" s="421"/>
    </row>
    <row r="375" spans="22:34">
      <c r="V375" s="4" t="s">
        <v>308</v>
      </c>
      <c r="W375" s="4" t="s">
        <v>1142</v>
      </c>
      <c r="X375" s="2"/>
      <c r="Y375" s="439" t="s">
        <v>958</v>
      </c>
      <c r="Z375" s="440">
        <v>0.03</v>
      </c>
      <c r="AA375" s="487" t="s">
        <v>376</v>
      </c>
      <c r="AB375" s="442" t="s">
        <v>1143</v>
      </c>
      <c r="AC375" s="443" t="str">
        <f t="shared" si="5"/>
        <v>愛知県蒲郡市</v>
      </c>
      <c r="AD375" s="464">
        <v>10.210000000000001</v>
      </c>
      <c r="AE375" s="442">
        <v>10.17</v>
      </c>
      <c r="AF375" s="463">
        <v>10.14</v>
      </c>
      <c r="AG375" s="421"/>
      <c r="AH375" s="421"/>
    </row>
    <row r="376" spans="22:34">
      <c r="V376" s="4" t="s">
        <v>308</v>
      </c>
      <c r="W376" s="4" t="s">
        <v>1144</v>
      </c>
      <c r="X376" s="2"/>
      <c r="Y376" s="439" t="s">
        <v>958</v>
      </c>
      <c r="Z376" s="440">
        <v>0.03</v>
      </c>
      <c r="AA376" s="487" t="s">
        <v>376</v>
      </c>
      <c r="AB376" s="442" t="s">
        <v>1145</v>
      </c>
      <c r="AC376" s="443" t="str">
        <f t="shared" si="5"/>
        <v>愛知県常滑市</v>
      </c>
      <c r="AD376" s="464">
        <v>10.210000000000001</v>
      </c>
      <c r="AE376" s="442">
        <v>10.17</v>
      </c>
      <c r="AF376" s="463">
        <v>10.14</v>
      </c>
      <c r="AG376" s="421"/>
      <c r="AH376" s="421"/>
    </row>
    <row r="377" spans="22:34">
      <c r="V377" s="4" t="s">
        <v>308</v>
      </c>
      <c r="W377" s="4" t="s">
        <v>1146</v>
      </c>
      <c r="X377" s="2"/>
      <c r="Y377" s="439" t="s">
        <v>958</v>
      </c>
      <c r="Z377" s="440">
        <v>0.03</v>
      </c>
      <c r="AA377" s="487" t="s">
        <v>376</v>
      </c>
      <c r="AB377" s="442" t="s">
        <v>1147</v>
      </c>
      <c r="AC377" s="443" t="str">
        <f t="shared" si="5"/>
        <v>愛知県小牧市</v>
      </c>
      <c r="AD377" s="464">
        <v>10.210000000000001</v>
      </c>
      <c r="AE377" s="442">
        <v>10.17</v>
      </c>
      <c r="AF377" s="463">
        <v>10.14</v>
      </c>
      <c r="AG377" s="421"/>
      <c r="AH377" s="421"/>
    </row>
    <row r="378" spans="22:34">
      <c r="V378" s="4" t="s">
        <v>308</v>
      </c>
      <c r="W378" s="4" t="s">
        <v>1148</v>
      </c>
      <c r="X378" s="2"/>
      <c r="Y378" s="439" t="s">
        <v>958</v>
      </c>
      <c r="Z378" s="440">
        <v>0.03</v>
      </c>
      <c r="AA378" s="487" t="s">
        <v>376</v>
      </c>
      <c r="AB378" s="442" t="s">
        <v>1149</v>
      </c>
      <c r="AC378" s="443" t="str">
        <f t="shared" si="5"/>
        <v>愛知県新城市</v>
      </c>
      <c r="AD378" s="464">
        <v>10.210000000000001</v>
      </c>
      <c r="AE378" s="442">
        <v>10.17</v>
      </c>
      <c r="AF378" s="463">
        <v>10.14</v>
      </c>
      <c r="AG378" s="421"/>
      <c r="AH378" s="421"/>
    </row>
    <row r="379" spans="22:34">
      <c r="V379" s="4" t="s">
        <v>308</v>
      </c>
      <c r="W379" s="4" t="s">
        <v>1150</v>
      </c>
      <c r="X379" s="2"/>
      <c r="Y379" s="439" t="s">
        <v>958</v>
      </c>
      <c r="Z379" s="440">
        <v>0.03</v>
      </c>
      <c r="AA379" s="487" t="s">
        <v>376</v>
      </c>
      <c r="AB379" s="442" t="s">
        <v>1151</v>
      </c>
      <c r="AC379" s="443" t="str">
        <f t="shared" si="5"/>
        <v>愛知県東海市</v>
      </c>
      <c r="AD379" s="464">
        <v>10.210000000000001</v>
      </c>
      <c r="AE379" s="442">
        <v>10.17</v>
      </c>
      <c r="AF379" s="463">
        <v>10.14</v>
      </c>
      <c r="AG379" s="421"/>
      <c r="AH379" s="421"/>
    </row>
    <row r="380" spans="22:34">
      <c r="V380" s="4" t="s">
        <v>308</v>
      </c>
      <c r="W380" s="4" t="s">
        <v>1152</v>
      </c>
      <c r="X380" s="2"/>
      <c r="Y380" s="439" t="s">
        <v>958</v>
      </c>
      <c r="Z380" s="440">
        <v>0.03</v>
      </c>
      <c r="AA380" s="487" t="s">
        <v>376</v>
      </c>
      <c r="AB380" s="442" t="s">
        <v>1153</v>
      </c>
      <c r="AC380" s="443" t="str">
        <f t="shared" si="5"/>
        <v>愛知県大府市</v>
      </c>
      <c r="AD380" s="464">
        <v>10.210000000000001</v>
      </c>
      <c r="AE380" s="442">
        <v>10.17</v>
      </c>
      <c r="AF380" s="463">
        <v>10.14</v>
      </c>
      <c r="AG380" s="421"/>
      <c r="AH380" s="421"/>
    </row>
    <row r="381" spans="22:34">
      <c r="V381" s="4" t="s">
        <v>308</v>
      </c>
      <c r="W381" s="4" t="s">
        <v>1154</v>
      </c>
      <c r="X381" s="2"/>
      <c r="Y381" s="439" t="s">
        <v>958</v>
      </c>
      <c r="Z381" s="440">
        <v>0.03</v>
      </c>
      <c r="AA381" s="487" t="s">
        <v>376</v>
      </c>
      <c r="AB381" s="442" t="s">
        <v>1155</v>
      </c>
      <c r="AC381" s="443" t="str">
        <f t="shared" si="5"/>
        <v>愛知県知多市</v>
      </c>
      <c r="AD381" s="464">
        <v>10.210000000000001</v>
      </c>
      <c r="AE381" s="442">
        <v>10.17</v>
      </c>
      <c r="AF381" s="463">
        <v>10.14</v>
      </c>
      <c r="AG381" s="421"/>
      <c r="AH381" s="421"/>
    </row>
    <row r="382" spans="22:34">
      <c r="V382" s="4" t="s">
        <v>308</v>
      </c>
      <c r="W382" s="4" t="s">
        <v>1156</v>
      </c>
      <c r="X382" s="2"/>
      <c r="Y382" s="439" t="s">
        <v>958</v>
      </c>
      <c r="Z382" s="440">
        <v>0.03</v>
      </c>
      <c r="AA382" s="487" t="s">
        <v>376</v>
      </c>
      <c r="AB382" s="442" t="s">
        <v>1157</v>
      </c>
      <c r="AC382" s="443" t="str">
        <f t="shared" si="5"/>
        <v>愛知県高浜市</v>
      </c>
      <c r="AD382" s="464">
        <v>10.210000000000001</v>
      </c>
      <c r="AE382" s="442">
        <v>10.17</v>
      </c>
      <c r="AF382" s="463">
        <v>10.14</v>
      </c>
      <c r="AG382" s="421"/>
      <c r="AH382" s="421"/>
    </row>
    <row r="383" spans="22:34">
      <c r="V383" s="4" t="s">
        <v>308</v>
      </c>
      <c r="W383" s="4" t="s">
        <v>1158</v>
      </c>
      <c r="X383" s="2"/>
      <c r="Y383" s="439" t="s">
        <v>958</v>
      </c>
      <c r="Z383" s="440">
        <v>0.03</v>
      </c>
      <c r="AA383" s="487" t="s">
        <v>376</v>
      </c>
      <c r="AB383" s="442" t="s">
        <v>1159</v>
      </c>
      <c r="AC383" s="443" t="str">
        <f t="shared" si="5"/>
        <v>愛知県田原市</v>
      </c>
      <c r="AD383" s="464">
        <v>10.210000000000001</v>
      </c>
      <c r="AE383" s="442">
        <v>10.17</v>
      </c>
      <c r="AF383" s="463">
        <v>10.14</v>
      </c>
      <c r="AG383" s="421"/>
      <c r="AH383" s="421"/>
    </row>
    <row r="384" spans="22:34">
      <c r="V384" s="4" t="s">
        <v>308</v>
      </c>
      <c r="W384" s="4" t="s">
        <v>1160</v>
      </c>
      <c r="X384" s="2"/>
      <c r="Y384" s="439" t="s">
        <v>958</v>
      </c>
      <c r="Z384" s="440">
        <v>0.03</v>
      </c>
      <c r="AA384" s="487" t="s">
        <v>376</v>
      </c>
      <c r="AB384" s="442" t="s">
        <v>1161</v>
      </c>
      <c r="AC384" s="443" t="str">
        <f t="shared" si="5"/>
        <v>愛知県大口町</v>
      </c>
      <c r="AD384" s="464">
        <v>10.210000000000001</v>
      </c>
      <c r="AE384" s="442">
        <v>10.17</v>
      </c>
      <c r="AF384" s="463">
        <v>10.14</v>
      </c>
      <c r="AG384" s="421"/>
      <c r="AH384" s="421"/>
    </row>
    <row r="385" spans="22:34">
      <c r="V385" s="4" t="s">
        <v>308</v>
      </c>
      <c r="W385" s="4" t="s">
        <v>1162</v>
      </c>
      <c r="X385" s="2"/>
      <c r="Y385" s="439" t="s">
        <v>958</v>
      </c>
      <c r="Z385" s="440">
        <v>0.03</v>
      </c>
      <c r="AA385" s="487" t="s">
        <v>376</v>
      </c>
      <c r="AB385" s="442" t="s">
        <v>1163</v>
      </c>
      <c r="AC385" s="443" t="str">
        <f t="shared" si="5"/>
        <v>愛知県扶桑町</v>
      </c>
      <c r="AD385" s="464">
        <v>10.210000000000001</v>
      </c>
      <c r="AE385" s="442">
        <v>10.17</v>
      </c>
      <c r="AF385" s="463">
        <v>10.14</v>
      </c>
      <c r="AG385" s="421"/>
      <c r="AH385" s="421"/>
    </row>
    <row r="386" spans="22:34">
      <c r="V386" s="4" t="s">
        <v>308</v>
      </c>
      <c r="W386" s="4" t="s">
        <v>1164</v>
      </c>
      <c r="X386" s="2"/>
      <c r="Y386" s="439" t="s">
        <v>958</v>
      </c>
      <c r="Z386" s="440">
        <v>0.03</v>
      </c>
      <c r="AA386" s="487" t="s">
        <v>376</v>
      </c>
      <c r="AB386" s="442" t="s">
        <v>1165</v>
      </c>
      <c r="AC386" s="443" t="str">
        <f t="shared" si="5"/>
        <v>愛知県阿久比町</v>
      </c>
      <c r="AD386" s="464">
        <v>10.210000000000001</v>
      </c>
      <c r="AE386" s="442">
        <v>10.17</v>
      </c>
      <c r="AF386" s="463">
        <v>10.14</v>
      </c>
      <c r="AG386" s="421"/>
      <c r="AH386" s="421"/>
    </row>
    <row r="387" spans="22:34">
      <c r="V387" s="4" t="s">
        <v>308</v>
      </c>
      <c r="W387" s="4" t="s">
        <v>1075</v>
      </c>
      <c r="X387" s="2"/>
      <c r="Y387" s="439" t="s">
        <v>958</v>
      </c>
      <c r="Z387" s="440">
        <v>0.03</v>
      </c>
      <c r="AA387" s="487" t="s">
        <v>376</v>
      </c>
      <c r="AB387" s="442" t="s">
        <v>1166</v>
      </c>
      <c r="AC387" s="443" t="str">
        <f t="shared" si="5"/>
        <v>愛知県東浦町</v>
      </c>
      <c r="AD387" s="464">
        <v>10.210000000000001</v>
      </c>
      <c r="AE387" s="442">
        <v>10.17</v>
      </c>
      <c r="AF387" s="463">
        <v>10.14</v>
      </c>
      <c r="AG387" s="421"/>
      <c r="AH387" s="421"/>
    </row>
    <row r="388" spans="22:34">
      <c r="V388" s="4" t="s">
        <v>308</v>
      </c>
      <c r="W388" s="4" t="s">
        <v>1167</v>
      </c>
      <c r="X388" s="2"/>
      <c r="Y388" s="439" t="s">
        <v>958</v>
      </c>
      <c r="Z388" s="440">
        <v>0.03</v>
      </c>
      <c r="AA388" s="487" t="s">
        <v>376</v>
      </c>
      <c r="AB388" s="442" t="s">
        <v>1168</v>
      </c>
      <c r="AC388" s="443" t="str">
        <f t="shared" ref="AC388:AC451" si="6">AA388&amp;AB388</f>
        <v>愛知県武豊町</v>
      </c>
      <c r="AD388" s="464">
        <v>10.210000000000001</v>
      </c>
      <c r="AE388" s="442">
        <v>10.17</v>
      </c>
      <c r="AF388" s="463">
        <v>10.14</v>
      </c>
      <c r="AG388" s="421"/>
      <c r="AH388" s="421"/>
    </row>
    <row r="389" spans="22:34">
      <c r="V389" s="4" t="s">
        <v>308</v>
      </c>
      <c r="W389" s="4" t="s">
        <v>1169</v>
      </c>
      <c r="X389" s="2"/>
      <c r="Y389" s="439" t="s">
        <v>958</v>
      </c>
      <c r="Z389" s="440">
        <v>0.03</v>
      </c>
      <c r="AA389" s="487" t="s">
        <v>376</v>
      </c>
      <c r="AB389" s="442" t="s">
        <v>1170</v>
      </c>
      <c r="AC389" s="443" t="str">
        <f t="shared" si="6"/>
        <v>愛知県幸田町</v>
      </c>
      <c r="AD389" s="464">
        <v>10.210000000000001</v>
      </c>
      <c r="AE389" s="442">
        <v>10.17</v>
      </c>
      <c r="AF389" s="463">
        <v>10.14</v>
      </c>
      <c r="AG389" s="421"/>
      <c r="AH389" s="421"/>
    </row>
    <row r="390" spans="22:34">
      <c r="V390" s="4" t="s">
        <v>308</v>
      </c>
      <c r="W390" s="4" t="s">
        <v>1171</v>
      </c>
      <c r="X390" s="2"/>
      <c r="Y390" s="439" t="s">
        <v>958</v>
      </c>
      <c r="Z390" s="440">
        <v>0.03</v>
      </c>
      <c r="AA390" s="487" t="s">
        <v>376</v>
      </c>
      <c r="AB390" s="442" t="s">
        <v>1172</v>
      </c>
      <c r="AC390" s="443" t="str">
        <f t="shared" si="6"/>
        <v>愛知県設楽町</v>
      </c>
      <c r="AD390" s="464">
        <v>10.210000000000001</v>
      </c>
      <c r="AE390" s="442">
        <v>10.17</v>
      </c>
      <c r="AF390" s="463">
        <v>10.14</v>
      </c>
      <c r="AG390" s="421"/>
      <c r="AH390" s="421"/>
    </row>
    <row r="391" spans="22:34">
      <c r="V391" s="4" t="s">
        <v>308</v>
      </c>
      <c r="W391" s="4" t="s">
        <v>1173</v>
      </c>
      <c r="X391" s="2"/>
      <c r="Y391" s="439" t="s">
        <v>958</v>
      </c>
      <c r="Z391" s="440">
        <v>0.03</v>
      </c>
      <c r="AA391" s="487" t="s">
        <v>376</v>
      </c>
      <c r="AB391" s="442" t="s">
        <v>1174</v>
      </c>
      <c r="AC391" s="443" t="str">
        <f t="shared" si="6"/>
        <v>愛知県東栄町</v>
      </c>
      <c r="AD391" s="464">
        <v>10.210000000000001</v>
      </c>
      <c r="AE391" s="442">
        <v>10.17</v>
      </c>
      <c r="AF391" s="463">
        <v>10.14</v>
      </c>
      <c r="AG391" s="421"/>
      <c r="AH391" s="421"/>
    </row>
    <row r="392" spans="22:34">
      <c r="V392" s="4" t="s">
        <v>308</v>
      </c>
      <c r="W392" s="4" t="s">
        <v>1175</v>
      </c>
      <c r="X392" s="2"/>
      <c r="Y392" s="439" t="s">
        <v>958</v>
      </c>
      <c r="Z392" s="440">
        <v>0.03</v>
      </c>
      <c r="AA392" s="487" t="s">
        <v>376</v>
      </c>
      <c r="AB392" s="442" t="s">
        <v>1176</v>
      </c>
      <c r="AC392" s="443" t="str">
        <f t="shared" si="6"/>
        <v>愛知県豊根村</v>
      </c>
      <c r="AD392" s="464">
        <v>10.210000000000001</v>
      </c>
      <c r="AE392" s="442">
        <v>10.17</v>
      </c>
      <c r="AF392" s="463">
        <v>10.14</v>
      </c>
      <c r="AG392" s="421"/>
      <c r="AH392" s="421"/>
    </row>
    <row r="393" spans="22:34">
      <c r="V393" s="4" t="s">
        <v>308</v>
      </c>
      <c r="W393" s="4" t="s">
        <v>1177</v>
      </c>
      <c r="X393" s="2"/>
      <c r="Y393" s="439" t="s">
        <v>958</v>
      </c>
      <c r="Z393" s="440">
        <v>0.03</v>
      </c>
      <c r="AA393" s="487" t="s">
        <v>380</v>
      </c>
      <c r="AB393" s="442" t="s">
        <v>1178</v>
      </c>
      <c r="AC393" s="443" t="str">
        <f t="shared" si="6"/>
        <v>三重県名張市</v>
      </c>
      <c r="AD393" s="464">
        <v>10.210000000000001</v>
      </c>
      <c r="AE393" s="442">
        <v>10.17</v>
      </c>
      <c r="AF393" s="463">
        <v>10.14</v>
      </c>
      <c r="AG393" s="421"/>
      <c r="AH393" s="421"/>
    </row>
    <row r="394" spans="22:34">
      <c r="V394" s="4" t="s">
        <v>308</v>
      </c>
      <c r="W394" s="4" t="s">
        <v>1179</v>
      </c>
      <c r="X394" s="2"/>
      <c r="Y394" s="439" t="s">
        <v>958</v>
      </c>
      <c r="Z394" s="440">
        <v>0.03</v>
      </c>
      <c r="AA394" s="487" t="s">
        <v>380</v>
      </c>
      <c r="AB394" s="442" t="s">
        <v>1180</v>
      </c>
      <c r="AC394" s="443" t="str">
        <f t="shared" si="6"/>
        <v>三重県いなべ市</v>
      </c>
      <c r="AD394" s="464">
        <v>10.210000000000001</v>
      </c>
      <c r="AE394" s="442">
        <v>10.17</v>
      </c>
      <c r="AF394" s="463">
        <v>10.14</v>
      </c>
      <c r="AG394" s="421"/>
      <c r="AH394" s="421"/>
    </row>
    <row r="395" spans="22:34">
      <c r="V395" s="4" t="s">
        <v>308</v>
      </c>
      <c r="W395" s="4" t="s">
        <v>1181</v>
      </c>
      <c r="X395" s="2"/>
      <c r="Y395" s="439" t="s">
        <v>958</v>
      </c>
      <c r="Z395" s="440">
        <v>0.03</v>
      </c>
      <c r="AA395" s="487" t="s">
        <v>380</v>
      </c>
      <c r="AB395" s="442" t="s">
        <v>1182</v>
      </c>
      <c r="AC395" s="443" t="str">
        <f t="shared" si="6"/>
        <v>三重県伊賀市</v>
      </c>
      <c r="AD395" s="464">
        <v>10.210000000000001</v>
      </c>
      <c r="AE395" s="442">
        <v>10.17</v>
      </c>
      <c r="AF395" s="463">
        <v>10.14</v>
      </c>
      <c r="AG395" s="421"/>
      <c r="AH395" s="421"/>
    </row>
    <row r="396" spans="22:34">
      <c r="V396" s="4" t="s">
        <v>308</v>
      </c>
      <c r="W396" s="4" t="s">
        <v>1183</v>
      </c>
      <c r="X396" s="2"/>
      <c r="Y396" s="439" t="s">
        <v>958</v>
      </c>
      <c r="Z396" s="440">
        <v>0.03</v>
      </c>
      <c r="AA396" s="487" t="s">
        <v>380</v>
      </c>
      <c r="AB396" s="442" t="s">
        <v>1184</v>
      </c>
      <c r="AC396" s="443" t="str">
        <f t="shared" si="6"/>
        <v>三重県木曽岬町</v>
      </c>
      <c r="AD396" s="464">
        <v>10.210000000000001</v>
      </c>
      <c r="AE396" s="442">
        <v>10.17</v>
      </c>
      <c r="AF396" s="463">
        <v>10.14</v>
      </c>
      <c r="AG396" s="421"/>
      <c r="AH396" s="421"/>
    </row>
    <row r="397" spans="22:34">
      <c r="V397" s="4" t="s">
        <v>308</v>
      </c>
      <c r="W397" s="4" t="s">
        <v>1185</v>
      </c>
      <c r="X397" s="2"/>
      <c r="Y397" s="439" t="s">
        <v>958</v>
      </c>
      <c r="Z397" s="440">
        <v>0.03</v>
      </c>
      <c r="AA397" s="487" t="s">
        <v>380</v>
      </c>
      <c r="AB397" s="442" t="s">
        <v>1186</v>
      </c>
      <c r="AC397" s="443" t="str">
        <f t="shared" si="6"/>
        <v>三重県東員町</v>
      </c>
      <c r="AD397" s="464">
        <v>10.210000000000001</v>
      </c>
      <c r="AE397" s="442">
        <v>10.17</v>
      </c>
      <c r="AF397" s="463">
        <v>10.14</v>
      </c>
      <c r="AG397" s="421"/>
      <c r="AH397" s="421"/>
    </row>
    <row r="398" spans="22:34">
      <c r="V398" s="4" t="s">
        <v>308</v>
      </c>
      <c r="W398" s="4" t="s">
        <v>1187</v>
      </c>
      <c r="X398" s="2"/>
      <c r="Y398" s="439" t="s">
        <v>958</v>
      </c>
      <c r="Z398" s="440">
        <v>0.03</v>
      </c>
      <c r="AA398" s="487" t="s">
        <v>380</v>
      </c>
      <c r="AB398" s="442" t="s">
        <v>1188</v>
      </c>
      <c r="AC398" s="443" t="str">
        <f t="shared" si="6"/>
        <v>三重県菰野町</v>
      </c>
      <c r="AD398" s="464">
        <v>10.210000000000001</v>
      </c>
      <c r="AE398" s="442">
        <v>10.17</v>
      </c>
      <c r="AF398" s="463">
        <v>10.14</v>
      </c>
      <c r="AG398" s="421"/>
      <c r="AH398" s="421"/>
    </row>
    <row r="399" spans="22:34">
      <c r="V399" s="4" t="s">
        <v>308</v>
      </c>
      <c r="W399" s="4" t="s">
        <v>1189</v>
      </c>
      <c r="X399" s="2"/>
      <c r="Y399" s="439" t="s">
        <v>958</v>
      </c>
      <c r="Z399" s="440">
        <v>0.03</v>
      </c>
      <c r="AA399" s="487" t="s">
        <v>380</v>
      </c>
      <c r="AB399" s="442" t="s">
        <v>1190</v>
      </c>
      <c r="AC399" s="443" t="str">
        <f t="shared" si="6"/>
        <v>三重県朝日町</v>
      </c>
      <c r="AD399" s="464">
        <v>10.210000000000001</v>
      </c>
      <c r="AE399" s="442">
        <v>10.17</v>
      </c>
      <c r="AF399" s="463">
        <v>10.14</v>
      </c>
      <c r="AG399" s="421"/>
      <c r="AH399" s="421"/>
    </row>
    <row r="400" spans="22:34">
      <c r="V400" s="4" t="s">
        <v>308</v>
      </c>
      <c r="W400" s="4" t="s">
        <v>1191</v>
      </c>
      <c r="X400" s="2"/>
      <c r="Y400" s="439" t="s">
        <v>958</v>
      </c>
      <c r="Z400" s="440">
        <v>0.03</v>
      </c>
      <c r="AA400" s="487" t="s">
        <v>380</v>
      </c>
      <c r="AB400" s="442" t="s">
        <v>1192</v>
      </c>
      <c r="AC400" s="443" t="str">
        <f t="shared" si="6"/>
        <v>三重県川越町</v>
      </c>
      <c r="AD400" s="464">
        <v>10.210000000000001</v>
      </c>
      <c r="AE400" s="442">
        <v>10.17</v>
      </c>
      <c r="AF400" s="463">
        <v>10.14</v>
      </c>
      <c r="AG400" s="421"/>
      <c r="AH400" s="421"/>
    </row>
    <row r="401" spans="22:34">
      <c r="V401" s="4" t="s">
        <v>308</v>
      </c>
      <c r="W401" s="4" t="s">
        <v>1193</v>
      </c>
      <c r="X401" s="2"/>
      <c r="Y401" s="439" t="s">
        <v>958</v>
      </c>
      <c r="Z401" s="440">
        <v>0.03</v>
      </c>
      <c r="AA401" s="487" t="s">
        <v>385</v>
      </c>
      <c r="AB401" s="442" t="s">
        <v>1194</v>
      </c>
      <c r="AC401" s="443" t="str">
        <f t="shared" si="6"/>
        <v>滋賀県長浜市</v>
      </c>
      <c r="AD401" s="464">
        <v>10.210000000000001</v>
      </c>
      <c r="AE401" s="442">
        <v>10.17</v>
      </c>
      <c r="AF401" s="463">
        <v>10.14</v>
      </c>
      <c r="AG401" s="421"/>
      <c r="AH401" s="421"/>
    </row>
    <row r="402" spans="22:34">
      <c r="V402" s="4" t="s">
        <v>308</v>
      </c>
      <c r="W402" s="4" t="s">
        <v>1195</v>
      </c>
      <c r="X402" s="2"/>
      <c r="Y402" s="439" t="s">
        <v>958</v>
      </c>
      <c r="Z402" s="440">
        <v>0.03</v>
      </c>
      <c r="AA402" s="487" t="s">
        <v>385</v>
      </c>
      <c r="AB402" s="442" t="s">
        <v>1196</v>
      </c>
      <c r="AC402" s="443" t="str">
        <f t="shared" si="6"/>
        <v>滋賀県近江八幡市</v>
      </c>
      <c r="AD402" s="464">
        <v>10.210000000000001</v>
      </c>
      <c r="AE402" s="442">
        <v>10.17</v>
      </c>
      <c r="AF402" s="463">
        <v>10.14</v>
      </c>
      <c r="AG402" s="421"/>
      <c r="AH402" s="421"/>
    </row>
    <row r="403" spans="22:34">
      <c r="V403" s="4" t="s">
        <v>308</v>
      </c>
      <c r="W403" s="4" t="s">
        <v>1197</v>
      </c>
      <c r="X403" s="2"/>
      <c r="Y403" s="439" t="s">
        <v>958</v>
      </c>
      <c r="Z403" s="440">
        <v>0.03</v>
      </c>
      <c r="AA403" s="487" t="s">
        <v>385</v>
      </c>
      <c r="AB403" s="442" t="s">
        <v>1198</v>
      </c>
      <c r="AC403" s="443" t="str">
        <f t="shared" si="6"/>
        <v>滋賀県野洲市</v>
      </c>
      <c r="AD403" s="464">
        <v>10.210000000000001</v>
      </c>
      <c r="AE403" s="442">
        <v>10.17</v>
      </c>
      <c r="AF403" s="463">
        <v>10.14</v>
      </c>
      <c r="AG403" s="421"/>
      <c r="AH403" s="421"/>
    </row>
    <row r="404" spans="22:34">
      <c r="V404" s="4" t="s">
        <v>308</v>
      </c>
      <c r="W404" s="4" t="s">
        <v>1199</v>
      </c>
      <c r="X404" s="2"/>
      <c r="Y404" s="439" t="s">
        <v>958</v>
      </c>
      <c r="Z404" s="440">
        <v>0.03</v>
      </c>
      <c r="AA404" s="487" t="s">
        <v>385</v>
      </c>
      <c r="AB404" s="442" t="s">
        <v>1200</v>
      </c>
      <c r="AC404" s="443" t="str">
        <f t="shared" si="6"/>
        <v>滋賀県湖南市</v>
      </c>
      <c r="AD404" s="464">
        <v>10.210000000000001</v>
      </c>
      <c r="AE404" s="442">
        <v>10.17</v>
      </c>
      <c r="AF404" s="463">
        <v>10.14</v>
      </c>
      <c r="AG404" s="421"/>
      <c r="AH404" s="421"/>
    </row>
    <row r="405" spans="22:34">
      <c r="V405" s="4" t="s">
        <v>308</v>
      </c>
      <c r="W405" s="4" t="s">
        <v>1201</v>
      </c>
      <c r="X405" s="2"/>
      <c r="Y405" s="439" t="s">
        <v>958</v>
      </c>
      <c r="Z405" s="440">
        <v>0.03</v>
      </c>
      <c r="AA405" s="487" t="s">
        <v>385</v>
      </c>
      <c r="AB405" s="442" t="s">
        <v>1202</v>
      </c>
      <c r="AC405" s="443" t="str">
        <f t="shared" si="6"/>
        <v>滋賀県高島市</v>
      </c>
      <c r="AD405" s="464">
        <v>10.210000000000001</v>
      </c>
      <c r="AE405" s="442">
        <v>10.17</v>
      </c>
      <c r="AF405" s="463">
        <v>10.14</v>
      </c>
      <c r="AG405" s="421"/>
      <c r="AH405" s="421"/>
    </row>
    <row r="406" spans="22:34">
      <c r="V406" s="4" t="s">
        <v>308</v>
      </c>
      <c r="W406" s="4" t="s">
        <v>1203</v>
      </c>
      <c r="X406" s="2"/>
      <c r="Y406" s="439" t="s">
        <v>958</v>
      </c>
      <c r="Z406" s="440">
        <v>0.03</v>
      </c>
      <c r="AA406" s="487" t="s">
        <v>385</v>
      </c>
      <c r="AB406" s="442" t="s">
        <v>1204</v>
      </c>
      <c r="AC406" s="443" t="str">
        <f t="shared" si="6"/>
        <v>滋賀県東近江市</v>
      </c>
      <c r="AD406" s="464">
        <v>10.210000000000001</v>
      </c>
      <c r="AE406" s="442">
        <v>10.17</v>
      </c>
      <c r="AF406" s="463">
        <v>10.14</v>
      </c>
      <c r="AG406" s="421"/>
      <c r="AH406" s="421"/>
    </row>
    <row r="407" spans="22:34">
      <c r="V407" s="4" t="s">
        <v>308</v>
      </c>
      <c r="W407" s="4" t="s">
        <v>1205</v>
      </c>
      <c r="X407" s="2"/>
      <c r="Y407" s="439" t="s">
        <v>958</v>
      </c>
      <c r="Z407" s="440">
        <v>0.03</v>
      </c>
      <c r="AA407" s="487" t="s">
        <v>385</v>
      </c>
      <c r="AB407" s="442" t="s">
        <v>1206</v>
      </c>
      <c r="AC407" s="443" t="str">
        <f t="shared" si="6"/>
        <v>滋賀県日野町</v>
      </c>
      <c r="AD407" s="464">
        <v>10.210000000000001</v>
      </c>
      <c r="AE407" s="442">
        <v>10.17</v>
      </c>
      <c r="AF407" s="463">
        <v>10.14</v>
      </c>
      <c r="AG407" s="421"/>
      <c r="AH407" s="421"/>
    </row>
    <row r="408" spans="22:34">
      <c r="V408" s="4" t="s">
        <v>308</v>
      </c>
      <c r="W408" s="4" t="s">
        <v>1207</v>
      </c>
      <c r="X408" s="2"/>
      <c r="Y408" s="439" t="s">
        <v>958</v>
      </c>
      <c r="Z408" s="440">
        <v>0.03</v>
      </c>
      <c r="AA408" s="487" t="s">
        <v>385</v>
      </c>
      <c r="AB408" s="442" t="s">
        <v>1208</v>
      </c>
      <c r="AC408" s="443" t="str">
        <f t="shared" si="6"/>
        <v>滋賀県竜王町</v>
      </c>
      <c r="AD408" s="464">
        <v>10.210000000000001</v>
      </c>
      <c r="AE408" s="442">
        <v>10.17</v>
      </c>
      <c r="AF408" s="463">
        <v>10.14</v>
      </c>
      <c r="AG408" s="421"/>
      <c r="AH408" s="421"/>
    </row>
    <row r="409" spans="22:34">
      <c r="V409" s="4" t="s">
        <v>308</v>
      </c>
      <c r="W409" s="4" t="s">
        <v>1209</v>
      </c>
      <c r="X409" s="2"/>
      <c r="Y409" s="439" t="s">
        <v>958</v>
      </c>
      <c r="Z409" s="440">
        <v>0.03</v>
      </c>
      <c r="AA409" s="487" t="s">
        <v>389</v>
      </c>
      <c r="AB409" s="442" t="s">
        <v>1210</v>
      </c>
      <c r="AC409" s="443" t="str">
        <f t="shared" si="6"/>
        <v>京都府久御山町</v>
      </c>
      <c r="AD409" s="464">
        <v>10.210000000000001</v>
      </c>
      <c r="AE409" s="442">
        <v>10.17</v>
      </c>
      <c r="AF409" s="463">
        <v>10.14</v>
      </c>
      <c r="AG409" s="421"/>
      <c r="AH409" s="421"/>
    </row>
    <row r="410" spans="22:34">
      <c r="V410" s="4" t="s">
        <v>308</v>
      </c>
      <c r="W410" s="4" t="s">
        <v>1211</v>
      </c>
      <c r="X410" s="2"/>
      <c r="Y410" s="439" t="s">
        <v>958</v>
      </c>
      <c r="Z410" s="440">
        <v>0.03</v>
      </c>
      <c r="AA410" s="487" t="s">
        <v>397</v>
      </c>
      <c r="AB410" s="442" t="s">
        <v>1212</v>
      </c>
      <c r="AC410" s="443" t="str">
        <f t="shared" si="6"/>
        <v>兵庫県姫路市</v>
      </c>
      <c r="AD410" s="464">
        <v>10.210000000000001</v>
      </c>
      <c r="AE410" s="442">
        <v>10.17</v>
      </c>
      <c r="AF410" s="463">
        <v>10.14</v>
      </c>
      <c r="AG410" s="421"/>
      <c r="AH410" s="421"/>
    </row>
    <row r="411" spans="22:34">
      <c r="V411" s="4" t="s">
        <v>308</v>
      </c>
      <c r="W411" s="4" t="s">
        <v>1213</v>
      </c>
      <c r="X411" s="2"/>
      <c r="Y411" s="439" t="s">
        <v>958</v>
      </c>
      <c r="Z411" s="440">
        <v>0.03</v>
      </c>
      <c r="AA411" s="487" t="s">
        <v>397</v>
      </c>
      <c r="AB411" s="442" t="s">
        <v>1214</v>
      </c>
      <c r="AC411" s="443" t="str">
        <f t="shared" si="6"/>
        <v>兵庫県加古川市</v>
      </c>
      <c r="AD411" s="464">
        <v>10.210000000000001</v>
      </c>
      <c r="AE411" s="442">
        <v>10.17</v>
      </c>
      <c r="AF411" s="463">
        <v>10.14</v>
      </c>
      <c r="AG411" s="421"/>
      <c r="AH411" s="421"/>
    </row>
    <row r="412" spans="22:34">
      <c r="V412" s="4" t="s">
        <v>308</v>
      </c>
      <c r="W412" s="4" t="s">
        <v>1215</v>
      </c>
      <c r="X412" s="2"/>
      <c r="Y412" s="439" t="s">
        <v>958</v>
      </c>
      <c r="Z412" s="440">
        <v>0.03</v>
      </c>
      <c r="AA412" s="487" t="s">
        <v>397</v>
      </c>
      <c r="AB412" s="442" t="s">
        <v>1216</v>
      </c>
      <c r="AC412" s="443" t="str">
        <f t="shared" si="6"/>
        <v>兵庫県三木市</v>
      </c>
      <c r="AD412" s="464">
        <v>10.210000000000001</v>
      </c>
      <c r="AE412" s="442">
        <v>10.17</v>
      </c>
      <c r="AF412" s="463">
        <v>10.14</v>
      </c>
      <c r="AG412" s="421"/>
      <c r="AH412" s="421"/>
    </row>
    <row r="413" spans="22:34">
      <c r="V413" s="4" t="s">
        <v>308</v>
      </c>
      <c r="W413" s="4" t="s">
        <v>1217</v>
      </c>
      <c r="X413" s="2"/>
      <c r="Y413" s="439" t="s">
        <v>958</v>
      </c>
      <c r="Z413" s="440">
        <v>0.03</v>
      </c>
      <c r="AA413" s="487" t="s">
        <v>397</v>
      </c>
      <c r="AB413" s="442" t="s">
        <v>1218</v>
      </c>
      <c r="AC413" s="443" t="str">
        <f t="shared" si="6"/>
        <v>兵庫県高砂市</v>
      </c>
      <c r="AD413" s="464">
        <v>10.210000000000001</v>
      </c>
      <c r="AE413" s="442">
        <v>10.17</v>
      </c>
      <c r="AF413" s="463">
        <v>10.14</v>
      </c>
      <c r="AG413" s="421"/>
      <c r="AH413" s="421"/>
    </row>
    <row r="414" spans="22:34">
      <c r="V414" s="4" t="s">
        <v>308</v>
      </c>
      <c r="W414" s="4" t="s">
        <v>1219</v>
      </c>
      <c r="X414" s="2"/>
      <c r="Y414" s="439" t="s">
        <v>958</v>
      </c>
      <c r="Z414" s="440">
        <v>0.03</v>
      </c>
      <c r="AA414" s="487" t="s">
        <v>397</v>
      </c>
      <c r="AB414" s="442" t="s">
        <v>1220</v>
      </c>
      <c r="AC414" s="443" t="str">
        <f t="shared" si="6"/>
        <v>兵庫県稲美町</v>
      </c>
      <c r="AD414" s="464">
        <v>10.210000000000001</v>
      </c>
      <c r="AE414" s="442">
        <v>10.17</v>
      </c>
      <c r="AF414" s="463">
        <v>10.14</v>
      </c>
      <c r="AG414" s="421"/>
      <c r="AH414" s="421"/>
    </row>
    <row r="415" spans="22:34">
      <c r="V415" s="4" t="s">
        <v>313</v>
      </c>
      <c r="W415" s="4" t="s">
        <v>564</v>
      </c>
      <c r="X415" s="2"/>
      <c r="Y415" s="439" t="s">
        <v>958</v>
      </c>
      <c r="Z415" s="440">
        <v>0.03</v>
      </c>
      <c r="AA415" s="487" t="s">
        <v>397</v>
      </c>
      <c r="AB415" s="442" t="s">
        <v>1221</v>
      </c>
      <c r="AC415" s="443" t="str">
        <f t="shared" si="6"/>
        <v>兵庫県播磨町</v>
      </c>
      <c r="AD415" s="464">
        <v>10.210000000000001</v>
      </c>
      <c r="AE415" s="442">
        <v>10.17</v>
      </c>
      <c r="AF415" s="463">
        <v>10.14</v>
      </c>
      <c r="AG415" s="421"/>
      <c r="AH415" s="421"/>
    </row>
    <row r="416" spans="22:34">
      <c r="V416" s="4" t="s">
        <v>313</v>
      </c>
      <c r="W416" s="4" t="s">
        <v>566</v>
      </c>
      <c r="X416" s="2"/>
      <c r="Y416" s="439" t="s">
        <v>958</v>
      </c>
      <c r="Z416" s="440">
        <v>0.03</v>
      </c>
      <c r="AA416" s="487" t="s">
        <v>402</v>
      </c>
      <c r="AB416" s="442" t="s">
        <v>1222</v>
      </c>
      <c r="AC416" s="443" t="str">
        <f t="shared" si="6"/>
        <v>奈良県大和高田市</v>
      </c>
      <c r="AD416" s="464">
        <v>10.210000000000001</v>
      </c>
      <c r="AE416" s="442">
        <v>10.17</v>
      </c>
      <c r="AF416" s="463">
        <v>10.14</v>
      </c>
      <c r="AG416" s="421"/>
      <c r="AH416" s="421"/>
    </row>
    <row r="417" spans="22:34">
      <c r="V417" s="4" t="s">
        <v>313</v>
      </c>
      <c r="W417" s="4" t="s">
        <v>689</v>
      </c>
      <c r="X417" s="2"/>
      <c r="Y417" s="439" t="s">
        <v>958</v>
      </c>
      <c r="Z417" s="440">
        <v>0.03</v>
      </c>
      <c r="AA417" s="487" t="s">
        <v>402</v>
      </c>
      <c r="AB417" s="442" t="s">
        <v>1223</v>
      </c>
      <c r="AC417" s="443" t="str">
        <f t="shared" si="6"/>
        <v>奈良県天理市</v>
      </c>
      <c r="AD417" s="464">
        <v>10.210000000000001</v>
      </c>
      <c r="AE417" s="442">
        <v>10.17</v>
      </c>
      <c r="AF417" s="463">
        <v>10.14</v>
      </c>
      <c r="AG417" s="421"/>
      <c r="AH417" s="421"/>
    </row>
    <row r="418" spans="22:34">
      <c r="V418" s="4" t="s">
        <v>313</v>
      </c>
      <c r="W418" s="4" t="s">
        <v>691</v>
      </c>
      <c r="X418" s="2"/>
      <c r="Y418" s="439" t="s">
        <v>958</v>
      </c>
      <c r="Z418" s="440">
        <v>0.03</v>
      </c>
      <c r="AA418" s="487" t="s">
        <v>402</v>
      </c>
      <c r="AB418" s="442" t="s">
        <v>1224</v>
      </c>
      <c r="AC418" s="443" t="str">
        <f t="shared" si="6"/>
        <v>奈良県橿原市</v>
      </c>
      <c r="AD418" s="464">
        <v>10.210000000000001</v>
      </c>
      <c r="AE418" s="442">
        <v>10.17</v>
      </c>
      <c r="AF418" s="463">
        <v>10.14</v>
      </c>
      <c r="AG418" s="421"/>
      <c r="AH418" s="421"/>
    </row>
    <row r="419" spans="22:34">
      <c r="V419" s="4" t="s">
        <v>313</v>
      </c>
      <c r="W419" s="4" t="s">
        <v>1225</v>
      </c>
      <c r="X419" s="2"/>
      <c r="Y419" s="439" t="s">
        <v>958</v>
      </c>
      <c r="Z419" s="440">
        <v>0.03</v>
      </c>
      <c r="AA419" s="487" t="s">
        <v>402</v>
      </c>
      <c r="AB419" s="442" t="s">
        <v>1226</v>
      </c>
      <c r="AC419" s="443" t="str">
        <f t="shared" si="6"/>
        <v>奈良県桜井市</v>
      </c>
      <c r="AD419" s="464">
        <v>10.210000000000001</v>
      </c>
      <c r="AE419" s="442">
        <v>10.17</v>
      </c>
      <c r="AF419" s="463">
        <v>10.14</v>
      </c>
      <c r="AG419" s="421"/>
      <c r="AH419" s="421"/>
    </row>
    <row r="420" spans="22:34">
      <c r="V420" s="4" t="s">
        <v>313</v>
      </c>
      <c r="W420" s="4" t="s">
        <v>960</v>
      </c>
      <c r="X420" s="2"/>
      <c r="Y420" s="439" t="s">
        <v>958</v>
      </c>
      <c r="Z420" s="440">
        <v>0.03</v>
      </c>
      <c r="AA420" s="487" t="s">
        <v>402</v>
      </c>
      <c r="AB420" s="442" t="s">
        <v>1227</v>
      </c>
      <c r="AC420" s="443" t="str">
        <f t="shared" si="6"/>
        <v>奈良県御所市</v>
      </c>
      <c r="AD420" s="464">
        <v>10.210000000000001</v>
      </c>
      <c r="AE420" s="442">
        <v>10.17</v>
      </c>
      <c r="AF420" s="463">
        <v>10.14</v>
      </c>
      <c r="AG420" s="421"/>
      <c r="AH420" s="421"/>
    </row>
    <row r="421" spans="22:34">
      <c r="V421" s="4" t="s">
        <v>313</v>
      </c>
      <c r="W421" s="4" t="s">
        <v>568</v>
      </c>
      <c r="X421" s="2"/>
      <c r="Y421" s="439" t="s">
        <v>958</v>
      </c>
      <c r="Z421" s="440">
        <v>0.03</v>
      </c>
      <c r="AA421" s="487" t="s">
        <v>402</v>
      </c>
      <c r="AB421" s="442" t="s">
        <v>1228</v>
      </c>
      <c r="AC421" s="443" t="str">
        <f t="shared" si="6"/>
        <v>奈良県香芝市</v>
      </c>
      <c r="AD421" s="464">
        <v>10.210000000000001</v>
      </c>
      <c r="AE421" s="442">
        <v>10.17</v>
      </c>
      <c r="AF421" s="463">
        <v>10.14</v>
      </c>
      <c r="AG421" s="421"/>
      <c r="AH421" s="421"/>
    </row>
    <row r="422" spans="22:34">
      <c r="V422" s="4" t="s">
        <v>313</v>
      </c>
      <c r="W422" s="4" t="s">
        <v>962</v>
      </c>
      <c r="X422" s="2"/>
      <c r="Y422" s="439" t="s">
        <v>958</v>
      </c>
      <c r="Z422" s="440">
        <v>0.03</v>
      </c>
      <c r="AA422" s="487" t="s">
        <v>402</v>
      </c>
      <c r="AB422" s="442" t="s">
        <v>1229</v>
      </c>
      <c r="AC422" s="443" t="str">
        <f t="shared" si="6"/>
        <v>奈良県葛城市</v>
      </c>
      <c r="AD422" s="464">
        <v>10.210000000000001</v>
      </c>
      <c r="AE422" s="442">
        <v>10.17</v>
      </c>
      <c r="AF422" s="463">
        <v>10.14</v>
      </c>
      <c r="AG422" s="421"/>
      <c r="AH422" s="421"/>
    </row>
    <row r="423" spans="22:34">
      <c r="V423" s="4" t="s">
        <v>313</v>
      </c>
      <c r="W423" s="4" t="s">
        <v>964</v>
      </c>
      <c r="X423" s="2"/>
      <c r="Y423" s="439" t="s">
        <v>958</v>
      </c>
      <c r="Z423" s="440">
        <v>0.03</v>
      </c>
      <c r="AA423" s="487" t="s">
        <v>402</v>
      </c>
      <c r="AB423" s="442" t="s">
        <v>1230</v>
      </c>
      <c r="AC423" s="443" t="str">
        <f t="shared" si="6"/>
        <v>奈良県宇陀市</v>
      </c>
      <c r="AD423" s="464">
        <v>10.210000000000001</v>
      </c>
      <c r="AE423" s="442">
        <v>10.17</v>
      </c>
      <c r="AF423" s="463">
        <v>10.14</v>
      </c>
      <c r="AG423" s="421"/>
      <c r="AH423" s="421"/>
    </row>
    <row r="424" spans="22:34">
      <c r="V424" s="4" t="s">
        <v>313</v>
      </c>
      <c r="W424" s="4" t="s">
        <v>1231</v>
      </c>
      <c r="X424" s="2"/>
      <c r="Y424" s="439" t="s">
        <v>958</v>
      </c>
      <c r="Z424" s="440">
        <v>0.03</v>
      </c>
      <c r="AA424" s="487" t="s">
        <v>402</v>
      </c>
      <c r="AB424" s="442" t="s">
        <v>1232</v>
      </c>
      <c r="AC424" s="443" t="str">
        <f t="shared" si="6"/>
        <v>奈良県山添村</v>
      </c>
      <c r="AD424" s="464">
        <v>10.210000000000001</v>
      </c>
      <c r="AE424" s="442">
        <v>10.17</v>
      </c>
      <c r="AF424" s="463">
        <v>10.14</v>
      </c>
      <c r="AG424" s="421"/>
      <c r="AH424" s="421"/>
    </row>
    <row r="425" spans="22:34">
      <c r="V425" s="4" t="s">
        <v>313</v>
      </c>
      <c r="W425" s="4" t="s">
        <v>1233</v>
      </c>
      <c r="X425" s="2"/>
      <c r="Y425" s="439" t="s">
        <v>958</v>
      </c>
      <c r="Z425" s="440">
        <v>0.03</v>
      </c>
      <c r="AA425" s="487" t="s">
        <v>402</v>
      </c>
      <c r="AB425" s="442" t="s">
        <v>1234</v>
      </c>
      <c r="AC425" s="443" t="str">
        <f t="shared" si="6"/>
        <v>奈良県平群町</v>
      </c>
      <c r="AD425" s="464">
        <v>10.210000000000001</v>
      </c>
      <c r="AE425" s="442">
        <v>10.17</v>
      </c>
      <c r="AF425" s="463">
        <v>10.14</v>
      </c>
      <c r="AG425" s="421"/>
      <c r="AH425" s="421"/>
    </row>
    <row r="426" spans="22:34">
      <c r="V426" s="4" t="s">
        <v>313</v>
      </c>
      <c r="W426" s="4" t="s">
        <v>1235</v>
      </c>
      <c r="X426" s="2"/>
      <c r="Y426" s="439" t="s">
        <v>958</v>
      </c>
      <c r="Z426" s="440">
        <v>0.03</v>
      </c>
      <c r="AA426" s="487" t="s">
        <v>402</v>
      </c>
      <c r="AB426" s="442" t="s">
        <v>1236</v>
      </c>
      <c r="AC426" s="443" t="str">
        <f t="shared" si="6"/>
        <v>奈良県三郷町</v>
      </c>
      <c r="AD426" s="464">
        <v>10.210000000000001</v>
      </c>
      <c r="AE426" s="442">
        <v>10.17</v>
      </c>
      <c r="AF426" s="463">
        <v>10.14</v>
      </c>
      <c r="AG426" s="421"/>
      <c r="AH426" s="421"/>
    </row>
    <row r="427" spans="22:34">
      <c r="V427" s="4" t="s">
        <v>313</v>
      </c>
      <c r="W427" s="4" t="s">
        <v>966</v>
      </c>
      <c r="X427" s="2"/>
      <c r="Y427" s="439" t="s">
        <v>958</v>
      </c>
      <c r="Z427" s="440">
        <v>0.03</v>
      </c>
      <c r="AA427" s="487" t="s">
        <v>402</v>
      </c>
      <c r="AB427" s="442" t="s">
        <v>1237</v>
      </c>
      <c r="AC427" s="443" t="str">
        <f t="shared" si="6"/>
        <v>奈良県斑鳩町</v>
      </c>
      <c r="AD427" s="464">
        <v>10.210000000000001</v>
      </c>
      <c r="AE427" s="442">
        <v>10.17</v>
      </c>
      <c r="AF427" s="463">
        <v>10.14</v>
      </c>
      <c r="AG427" s="421"/>
      <c r="AH427" s="421"/>
    </row>
    <row r="428" spans="22:34">
      <c r="V428" s="4" t="s">
        <v>313</v>
      </c>
      <c r="W428" s="4" t="s">
        <v>570</v>
      </c>
      <c r="X428" s="2"/>
      <c r="Y428" s="439" t="s">
        <v>958</v>
      </c>
      <c r="Z428" s="440">
        <v>0.03</v>
      </c>
      <c r="AA428" s="487" t="s">
        <v>402</v>
      </c>
      <c r="AB428" s="442" t="s">
        <v>1238</v>
      </c>
      <c r="AC428" s="443" t="str">
        <f t="shared" si="6"/>
        <v>奈良県安堵町</v>
      </c>
      <c r="AD428" s="464">
        <v>10.210000000000001</v>
      </c>
      <c r="AE428" s="442">
        <v>10.17</v>
      </c>
      <c r="AF428" s="463">
        <v>10.14</v>
      </c>
      <c r="AG428" s="421"/>
      <c r="AH428" s="421"/>
    </row>
    <row r="429" spans="22:34">
      <c r="V429" s="4" t="s">
        <v>313</v>
      </c>
      <c r="W429" s="4" t="s">
        <v>515</v>
      </c>
      <c r="X429" s="2"/>
      <c r="Y429" s="439" t="s">
        <v>958</v>
      </c>
      <c r="Z429" s="440">
        <v>0.03</v>
      </c>
      <c r="AA429" s="487" t="s">
        <v>402</v>
      </c>
      <c r="AB429" s="442" t="s">
        <v>1239</v>
      </c>
      <c r="AC429" s="443" t="str">
        <f t="shared" si="6"/>
        <v>奈良県川西町</v>
      </c>
      <c r="AD429" s="464">
        <v>10.210000000000001</v>
      </c>
      <c r="AE429" s="442">
        <v>10.17</v>
      </c>
      <c r="AF429" s="463">
        <v>10.14</v>
      </c>
      <c r="AG429" s="421"/>
      <c r="AH429" s="421"/>
    </row>
    <row r="430" spans="22:34">
      <c r="V430" s="4" t="s">
        <v>313</v>
      </c>
      <c r="W430" s="4" t="s">
        <v>572</v>
      </c>
      <c r="X430" s="2"/>
      <c r="Y430" s="439" t="s">
        <v>958</v>
      </c>
      <c r="Z430" s="440">
        <v>0.03</v>
      </c>
      <c r="AA430" s="487" t="s">
        <v>402</v>
      </c>
      <c r="AB430" s="442" t="s">
        <v>1240</v>
      </c>
      <c r="AC430" s="443" t="str">
        <f t="shared" si="6"/>
        <v>奈良県三宅町</v>
      </c>
      <c r="AD430" s="464">
        <v>10.210000000000001</v>
      </c>
      <c r="AE430" s="442">
        <v>10.17</v>
      </c>
      <c r="AF430" s="463">
        <v>10.14</v>
      </c>
      <c r="AG430" s="421"/>
      <c r="AH430" s="421"/>
    </row>
    <row r="431" spans="22:34">
      <c r="V431" s="4" t="s">
        <v>313</v>
      </c>
      <c r="W431" s="4" t="s">
        <v>968</v>
      </c>
      <c r="X431" s="2"/>
      <c r="Y431" s="439" t="s">
        <v>958</v>
      </c>
      <c r="Z431" s="440">
        <v>0.03</v>
      </c>
      <c r="AA431" s="487" t="s">
        <v>402</v>
      </c>
      <c r="AB431" s="442" t="s">
        <v>1241</v>
      </c>
      <c r="AC431" s="443" t="str">
        <f t="shared" si="6"/>
        <v>奈良県田原本町</v>
      </c>
      <c r="AD431" s="464">
        <v>10.210000000000001</v>
      </c>
      <c r="AE431" s="442">
        <v>10.17</v>
      </c>
      <c r="AF431" s="463">
        <v>10.14</v>
      </c>
      <c r="AG431" s="421"/>
      <c r="AH431" s="421"/>
    </row>
    <row r="432" spans="22:34">
      <c r="V432" s="4" t="s">
        <v>313</v>
      </c>
      <c r="W432" s="4" t="s">
        <v>1242</v>
      </c>
      <c r="X432" s="2"/>
      <c r="Y432" s="439" t="s">
        <v>958</v>
      </c>
      <c r="Z432" s="440">
        <v>0.03</v>
      </c>
      <c r="AA432" s="487" t="s">
        <v>402</v>
      </c>
      <c r="AB432" s="442" t="s">
        <v>1243</v>
      </c>
      <c r="AC432" s="443" t="str">
        <f t="shared" si="6"/>
        <v>奈良県曽爾村</v>
      </c>
      <c r="AD432" s="464">
        <v>10.210000000000001</v>
      </c>
      <c r="AE432" s="442">
        <v>10.17</v>
      </c>
      <c r="AF432" s="463">
        <v>10.14</v>
      </c>
      <c r="AG432" s="421"/>
      <c r="AH432" s="421"/>
    </row>
    <row r="433" spans="22:34">
      <c r="V433" s="4" t="s">
        <v>313</v>
      </c>
      <c r="W433" s="4" t="s">
        <v>1244</v>
      </c>
      <c r="X433" s="2"/>
      <c r="Y433" s="439" t="s">
        <v>958</v>
      </c>
      <c r="Z433" s="440">
        <v>0.03</v>
      </c>
      <c r="AA433" s="487" t="s">
        <v>402</v>
      </c>
      <c r="AB433" s="442" t="s">
        <v>1245</v>
      </c>
      <c r="AC433" s="443" t="str">
        <f t="shared" si="6"/>
        <v>奈良県明日香村</v>
      </c>
      <c r="AD433" s="464">
        <v>10.210000000000001</v>
      </c>
      <c r="AE433" s="442">
        <v>10.17</v>
      </c>
      <c r="AF433" s="463">
        <v>10.14</v>
      </c>
      <c r="AG433" s="421"/>
      <c r="AH433" s="421"/>
    </row>
    <row r="434" spans="22:34">
      <c r="V434" s="4" t="s">
        <v>313</v>
      </c>
      <c r="W434" s="4" t="s">
        <v>574</v>
      </c>
      <c r="X434" s="2"/>
      <c r="Y434" s="439" t="s">
        <v>958</v>
      </c>
      <c r="Z434" s="440">
        <v>0.03</v>
      </c>
      <c r="AA434" s="487" t="s">
        <v>402</v>
      </c>
      <c r="AB434" s="442" t="s">
        <v>1246</v>
      </c>
      <c r="AC434" s="443" t="str">
        <f t="shared" si="6"/>
        <v>奈良県上牧町</v>
      </c>
      <c r="AD434" s="464">
        <v>10.210000000000001</v>
      </c>
      <c r="AE434" s="442">
        <v>10.17</v>
      </c>
      <c r="AF434" s="463">
        <v>10.14</v>
      </c>
      <c r="AG434" s="421"/>
      <c r="AH434" s="421"/>
    </row>
    <row r="435" spans="22:34">
      <c r="V435" s="4" t="s">
        <v>313</v>
      </c>
      <c r="W435" s="4" t="s">
        <v>1247</v>
      </c>
      <c r="X435" s="2"/>
      <c r="Y435" s="439" t="s">
        <v>958</v>
      </c>
      <c r="Z435" s="440">
        <v>0.03</v>
      </c>
      <c r="AA435" s="487" t="s">
        <v>402</v>
      </c>
      <c r="AB435" s="442" t="s">
        <v>1248</v>
      </c>
      <c r="AC435" s="443" t="str">
        <f t="shared" si="6"/>
        <v>奈良県王寺町</v>
      </c>
      <c r="AD435" s="464">
        <v>10.210000000000001</v>
      </c>
      <c r="AE435" s="442">
        <v>10.17</v>
      </c>
      <c r="AF435" s="463">
        <v>10.14</v>
      </c>
      <c r="AG435" s="421"/>
      <c r="AH435" s="421"/>
    </row>
    <row r="436" spans="22:34">
      <c r="V436" s="4" t="s">
        <v>313</v>
      </c>
      <c r="W436" s="4" t="s">
        <v>970</v>
      </c>
      <c r="X436" s="2"/>
      <c r="Y436" s="439" t="s">
        <v>958</v>
      </c>
      <c r="Z436" s="440">
        <v>0.03</v>
      </c>
      <c r="AA436" s="487" t="s">
        <v>402</v>
      </c>
      <c r="AB436" s="442" t="s">
        <v>1249</v>
      </c>
      <c r="AC436" s="443" t="str">
        <f t="shared" si="6"/>
        <v>奈良県広陵町</v>
      </c>
      <c r="AD436" s="464">
        <v>10.210000000000001</v>
      </c>
      <c r="AE436" s="442">
        <v>10.17</v>
      </c>
      <c r="AF436" s="463">
        <v>10.14</v>
      </c>
      <c r="AG436" s="421"/>
      <c r="AH436" s="421"/>
    </row>
    <row r="437" spans="22:34">
      <c r="V437" s="4" t="s">
        <v>313</v>
      </c>
      <c r="W437" s="4" t="s">
        <v>972</v>
      </c>
      <c r="X437" s="2"/>
      <c r="Y437" s="439" t="s">
        <v>958</v>
      </c>
      <c r="Z437" s="440">
        <v>0.03</v>
      </c>
      <c r="AA437" s="487" t="s">
        <v>402</v>
      </c>
      <c r="AB437" s="442" t="s">
        <v>1250</v>
      </c>
      <c r="AC437" s="443" t="str">
        <f t="shared" si="6"/>
        <v>奈良県河合町</v>
      </c>
      <c r="AD437" s="464">
        <v>10.210000000000001</v>
      </c>
      <c r="AE437" s="442">
        <v>10.17</v>
      </c>
      <c r="AF437" s="463">
        <v>10.14</v>
      </c>
      <c r="AG437" s="421"/>
      <c r="AH437" s="421"/>
    </row>
    <row r="438" spans="22:34">
      <c r="V438" s="4" t="s">
        <v>313</v>
      </c>
      <c r="W438" s="4" t="s">
        <v>974</v>
      </c>
      <c r="X438" s="2"/>
      <c r="Y438" s="439" t="s">
        <v>958</v>
      </c>
      <c r="Z438" s="440">
        <v>0.03</v>
      </c>
      <c r="AA438" s="487" t="s">
        <v>422</v>
      </c>
      <c r="AB438" s="442" t="s">
        <v>1251</v>
      </c>
      <c r="AC438" s="443" t="str">
        <f t="shared" si="6"/>
        <v>岡山県岡山市</v>
      </c>
      <c r="AD438" s="464">
        <v>10.210000000000001</v>
      </c>
      <c r="AE438" s="442">
        <v>10.17</v>
      </c>
      <c r="AF438" s="463">
        <v>10.14</v>
      </c>
      <c r="AG438" s="421"/>
      <c r="AH438" s="421"/>
    </row>
    <row r="439" spans="22:34">
      <c r="V439" s="4" t="s">
        <v>313</v>
      </c>
      <c r="W439" s="4" t="s">
        <v>976</v>
      </c>
      <c r="X439" s="2"/>
      <c r="Y439" s="439" t="s">
        <v>958</v>
      </c>
      <c r="Z439" s="440">
        <v>0.03</v>
      </c>
      <c r="AA439" s="487" t="s">
        <v>426</v>
      </c>
      <c r="AB439" s="442" t="s">
        <v>1252</v>
      </c>
      <c r="AC439" s="443" t="str">
        <f t="shared" si="6"/>
        <v>広島県東広島市</v>
      </c>
      <c r="AD439" s="464">
        <v>10.210000000000001</v>
      </c>
      <c r="AE439" s="442">
        <v>10.17</v>
      </c>
      <c r="AF439" s="463">
        <v>10.14</v>
      </c>
      <c r="AG439" s="421"/>
      <c r="AH439" s="421"/>
    </row>
    <row r="440" spans="22:34">
      <c r="V440" s="4" t="s">
        <v>313</v>
      </c>
      <c r="W440" s="4" t="s">
        <v>1253</v>
      </c>
      <c r="X440" s="2"/>
      <c r="Y440" s="439" t="s">
        <v>958</v>
      </c>
      <c r="Z440" s="440">
        <v>0.03</v>
      </c>
      <c r="AA440" s="487" t="s">
        <v>426</v>
      </c>
      <c r="AB440" s="442" t="s">
        <v>1254</v>
      </c>
      <c r="AC440" s="443" t="str">
        <f t="shared" si="6"/>
        <v>広島県廿日市市</v>
      </c>
      <c r="AD440" s="464">
        <v>10.210000000000001</v>
      </c>
      <c r="AE440" s="442">
        <v>10.17</v>
      </c>
      <c r="AF440" s="463">
        <v>10.14</v>
      </c>
      <c r="AG440" s="421"/>
      <c r="AH440" s="421"/>
    </row>
    <row r="441" spans="22:34">
      <c r="V441" s="4" t="s">
        <v>313</v>
      </c>
      <c r="W441" s="4" t="s">
        <v>1255</v>
      </c>
      <c r="X441" s="2"/>
      <c r="Y441" s="439" t="s">
        <v>958</v>
      </c>
      <c r="Z441" s="440">
        <v>0.03</v>
      </c>
      <c r="AA441" s="487" t="s">
        <v>426</v>
      </c>
      <c r="AB441" s="442" t="s">
        <v>1256</v>
      </c>
      <c r="AC441" s="443" t="str">
        <f t="shared" si="6"/>
        <v>広島県海田町</v>
      </c>
      <c r="AD441" s="464">
        <v>10.210000000000001</v>
      </c>
      <c r="AE441" s="442">
        <v>10.17</v>
      </c>
      <c r="AF441" s="463">
        <v>10.14</v>
      </c>
      <c r="AG441" s="421"/>
      <c r="AH441" s="421"/>
    </row>
    <row r="442" spans="22:34">
      <c r="V442" s="4" t="s">
        <v>313</v>
      </c>
      <c r="W442" s="4" t="s">
        <v>1257</v>
      </c>
      <c r="X442" s="2"/>
      <c r="Y442" s="439" t="s">
        <v>958</v>
      </c>
      <c r="Z442" s="440">
        <v>0.03</v>
      </c>
      <c r="AA442" s="487" t="s">
        <v>426</v>
      </c>
      <c r="AB442" s="442" t="s">
        <v>1258</v>
      </c>
      <c r="AC442" s="443" t="str">
        <f t="shared" si="6"/>
        <v>広島県熊野町</v>
      </c>
      <c r="AD442" s="464">
        <v>10.210000000000001</v>
      </c>
      <c r="AE442" s="442">
        <v>10.17</v>
      </c>
      <c r="AF442" s="463">
        <v>10.14</v>
      </c>
      <c r="AG442" s="421"/>
      <c r="AH442" s="421"/>
    </row>
    <row r="443" spans="22:34">
      <c r="V443" s="4" t="s">
        <v>313</v>
      </c>
      <c r="W443" s="4" t="s">
        <v>1259</v>
      </c>
      <c r="X443" s="2"/>
      <c r="Y443" s="439" t="s">
        <v>958</v>
      </c>
      <c r="Z443" s="440">
        <v>0.03</v>
      </c>
      <c r="AA443" s="487" t="s">
        <v>426</v>
      </c>
      <c r="AB443" s="442" t="s">
        <v>1260</v>
      </c>
      <c r="AC443" s="443" t="str">
        <f t="shared" si="6"/>
        <v>広島県坂町</v>
      </c>
      <c r="AD443" s="464">
        <v>10.210000000000001</v>
      </c>
      <c r="AE443" s="442">
        <v>10.17</v>
      </c>
      <c r="AF443" s="463">
        <v>10.14</v>
      </c>
      <c r="AG443" s="421"/>
      <c r="AH443" s="421"/>
    </row>
    <row r="444" spans="22:34">
      <c r="V444" s="4" t="s">
        <v>313</v>
      </c>
      <c r="W444" s="4" t="s">
        <v>1261</v>
      </c>
      <c r="X444" s="2"/>
      <c r="Y444" s="439" t="s">
        <v>958</v>
      </c>
      <c r="Z444" s="440">
        <v>0.03</v>
      </c>
      <c r="AA444" s="487" t="s">
        <v>430</v>
      </c>
      <c r="AB444" s="442" t="s">
        <v>1262</v>
      </c>
      <c r="AC444" s="443" t="str">
        <f t="shared" si="6"/>
        <v>山口県周南市</v>
      </c>
      <c r="AD444" s="464">
        <v>10.210000000000001</v>
      </c>
      <c r="AE444" s="442">
        <v>10.17</v>
      </c>
      <c r="AF444" s="463">
        <v>10.14</v>
      </c>
      <c r="AG444" s="421"/>
      <c r="AH444" s="421"/>
    </row>
    <row r="445" spans="22:34">
      <c r="V445" s="4" t="s">
        <v>313</v>
      </c>
      <c r="W445" s="4" t="s">
        <v>978</v>
      </c>
      <c r="X445" s="2"/>
      <c r="Y445" s="439" t="s">
        <v>958</v>
      </c>
      <c r="Z445" s="440">
        <v>0.03</v>
      </c>
      <c r="AA445" s="487" t="s">
        <v>434</v>
      </c>
      <c r="AB445" s="442" t="s">
        <v>1263</v>
      </c>
      <c r="AC445" s="443" t="str">
        <f t="shared" si="6"/>
        <v>徳島県徳島市</v>
      </c>
      <c r="AD445" s="464">
        <v>10.210000000000001</v>
      </c>
      <c r="AE445" s="442">
        <v>10.17</v>
      </c>
      <c r="AF445" s="463">
        <v>10.14</v>
      </c>
      <c r="AG445" s="421"/>
      <c r="AH445" s="421"/>
    </row>
    <row r="446" spans="22:34">
      <c r="V446" s="4" t="s">
        <v>313</v>
      </c>
      <c r="W446" s="4" t="s">
        <v>1264</v>
      </c>
      <c r="X446" s="2"/>
      <c r="Y446" s="439" t="s">
        <v>958</v>
      </c>
      <c r="Z446" s="440">
        <v>0.03</v>
      </c>
      <c r="AA446" s="487" t="s">
        <v>438</v>
      </c>
      <c r="AB446" s="442" t="s">
        <v>1265</v>
      </c>
      <c r="AC446" s="443" t="str">
        <f t="shared" si="6"/>
        <v>香川県高松市</v>
      </c>
      <c r="AD446" s="464">
        <v>10.210000000000001</v>
      </c>
      <c r="AE446" s="442">
        <v>10.17</v>
      </c>
      <c r="AF446" s="463">
        <v>10.14</v>
      </c>
      <c r="AG446" s="421"/>
      <c r="AH446" s="421"/>
    </row>
    <row r="447" spans="22:34">
      <c r="V447" s="4" t="s">
        <v>313</v>
      </c>
      <c r="W447" s="4" t="s">
        <v>1266</v>
      </c>
      <c r="X447" s="2"/>
      <c r="Y447" s="439" t="s">
        <v>958</v>
      </c>
      <c r="Z447" s="440">
        <v>0.03</v>
      </c>
      <c r="AA447" s="487" t="s">
        <v>451</v>
      </c>
      <c r="AB447" s="442" t="s">
        <v>1267</v>
      </c>
      <c r="AC447" s="443" t="str">
        <f t="shared" si="6"/>
        <v>福岡県北九州市</v>
      </c>
      <c r="AD447" s="464">
        <v>10.210000000000001</v>
      </c>
      <c r="AE447" s="442">
        <v>10.17</v>
      </c>
      <c r="AF447" s="463">
        <v>10.14</v>
      </c>
      <c r="AG447" s="421"/>
      <c r="AH447" s="421"/>
    </row>
    <row r="448" spans="22:34">
      <c r="V448" s="4" t="s">
        <v>313</v>
      </c>
      <c r="W448" s="4" t="s">
        <v>980</v>
      </c>
      <c r="X448" s="2"/>
      <c r="Y448" s="439" t="s">
        <v>958</v>
      </c>
      <c r="Z448" s="440">
        <v>0.03</v>
      </c>
      <c r="AA448" s="487" t="s">
        <v>451</v>
      </c>
      <c r="AB448" s="442" t="s">
        <v>1268</v>
      </c>
      <c r="AC448" s="443" t="str">
        <f t="shared" si="6"/>
        <v>福岡県飯塚市</v>
      </c>
      <c r="AD448" s="464">
        <v>10.210000000000001</v>
      </c>
      <c r="AE448" s="442">
        <v>10.17</v>
      </c>
      <c r="AF448" s="463">
        <v>10.14</v>
      </c>
      <c r="AG448" s="421"/>
      <c r="AH448" s="421"/>
    </row>
    <row r="449" spans="22:34">
      <c r="V449" s="4" t="s">
        <v>313</v>
      </c>
      <c r="W449" s="4" t="s">
        <v>1269</v>
      </c>
      <c r="X449" s="2"/>
      <c r="Y449" s="439" t="s">
        <v>958</v>
      </c>
      <c r="Z449" s="440">
        <v>0.03</v>
      </c>
      <c r="AA449" s="487" t="s">
        <v>451</v>
      </c>
      <c r="AB449" s="442" t="s">
        <v>1270</v>
      </c>
      <c r="AC449" s="443" t="str">
        <f t="shared" si="6"/>
        <v>福岡県筑紫野市</v>
      </c>
      <c r="AD449" s="464">
        <v>10.210000000000001</v>
      </c>
      <c r="AE449" s="442">
        <v>10.17</v>
      </c>
      <c r="AF449" s="463">
        <v>10.14</v>
      </c>
      <c r="AG449" s="421"/>
      <c r="AH449" s="421"/>
    </row>
    <row r="450" spans="22:34">
      <c r="V450" s="4" t="s">
        <v>313</v>
      </c>
      <c r="W450" s="4" t="s">
        <v>1271</v>
      </c>
      <c r="X450" s="2"/>
      <c r="Y450" s="439" t="s">
        <v>958</v>
      </c>
      <c r="Z450" s="440">
        <v>0.03</v>
      </c>
      <c r="AA450" s="487" t="s">
        <v>451</v>
      </c>
      <c r="AB450" s="442" t="s">
        <v>1272</v>
      </c>
      <c r="AC450" s="443" t="str">
        <f t="shared" si="6"/>
        <v>福岡県古賀市</v>
      </c>
      <c r="AD450" s="464">
        <v>10.210000000000001</v>
      </c>
      <c r="AE450" s="442">
        <v>10.17</v>
      </c>
      <c r="AF450" s="463">
        <v>10.14</v>
      </c>
      <c r="AG450" s="421"/>
      <c r="AH450" s="421"/>
    </row>
    <row r="451" spans="22:34" ht="14.25" thickBot="1">
      <c r="V451" s="4" t="s">
        <v>313</v>
      </c>
      <c r="W451" s="4" t="s">
        <v>1273</v>
      </c>
      <c r="X451" s="2"/>
      <c r="Y451" s="448" t="s">
        <v>958</v>
      </c>
      <c r="Z451" s="449">
        <v>0.03</v>
      </c>
      <c r="AA451" s="488" t="s">
        <v>459</v>
      </c>
      <c r="AB451" s="451" t="s">
        <v>1274</v>
      </c>
      <c r="AC451" s="452" t="str">
        <f t="shared" si="6"/>
        <v>長崎県長崎市</v>
      </c>
      <c r="AD451" s="470">
        <v>10.210000000000001</v>
      </c>
      <c r="AE451" s="451">
        <v>10.17</v>
      </c>
      <c r="AF451" s="471">
        <v>10.14</v>
      </c>
      <c r="AG451" s="421"/>
      <c r="AH451" s="421"/>
    </row>
    <row r="452" spans="22:34" ht="14.25" thickBot="1">
      <c r="V452" s="4" t="s">
        <v>313</v>
      </c>
      <c r="W452" s="4" t="s">
        <v>1275</v>
      </c>
      <c r="X452" s="2"/>
      <c r="Y452" s="422" t="s">
        <v>1276</v>
      </c>
      <c r="Z452" s="489">
        <v>0</v>
      </c>
      <c r="AA452" s="490"/>
      <c r="AB452" s="491"/>
      <c r="AC452" s="426" t="str">
        <f t="shared" ref="AC452" si="7">AA452&amp;AB452</f>
        <v/>
      </c>
      <c r="AD452" s="422" t="str">
        <f t="shared" ref="AD452" si="8">AA452&amp;AB452</f>
        <v/>
      </c>
      <c r="AE452" s="492"/>
      <c r="AF452" s="493"/>
      <c r="AG452" s="421"/>
      <c r="AH452" s="421"/>
    </row>
    <row r="453" spans="22:34">
      <c r="V453" s="4" t="s">
        <v>313</v>
      </c>
      <c r="W453" s="4" t="s">
        <v>982</v>
      </c>
      <c r="X453" s="2"/>
      <c r="Z453"/>
      <c r="AA453"/>
      <c r="AB453"/>
      <c r="AD453"/>
      <c r="AE453" s="7"/>
      <c r="AF453" s="7"/>
      <c r="AG453" s="1"/>
    </row>
    <row r="454" spans="22:34">
      <c r="V454" s="4" t="s">
        <v>313</v>
      </c>
      <c r="W454" s="4" t="s">
        <v>984</v>
      </c>
      <c r="X454" s="2"/>
      <c r="Z454"/>
      <c r="AA454"/>
      <c r="AB454"/>
      <c r="AD454"/>
      <c r="AE454" s="7"/>
      <c r="AF454" s="7"/>
      <c r="AG454" s="1"/>
    </row>
    <row r="455" spans="22:34">
      <c r="V455" s="4" t="s">
        <v>313</v>
      </c>
      <c r="W455" s="4" t="s">
        <v>986</v>
      </c>
      <c r="X455" s="2"/>
      <c r="Z455"/>
      <c r="AA455"/>
      <c r="AB455"/>
      <c r="AD455"/>
      <c r="AE455" s="7"/>
      <c r="AF455" s="7"/>
      <c r="AG455" s="1"/>
    </row>
    <row r="456" spans="22:34">
      <c r="V456" s="4" t="s">
        <v>313</v>
      </c>
      <c r="W456" s="4" t="s">
        <v>988</v>
      </c>
      <c r="X456" s="2"/>
      <c r="Z456"/>
      <c r="AA456"/>
      <c r="AB456"/>
      <c r="AD456"/>
      <c r="AE456" s="7"/>
      <c r="AF456" s="7"/>
      <c r="AG456" s="1"/>
    </row>
    <row r="457" spans="22:34">
      <c r="V457" s="4" t="s">
        <v>313</v>
      </c>
      <c r="W457" s="4" t="s">
        <v>990</v>
      </c>
      <c r="X457" s="2"/>
      <c r="Z457"/>
      <c r="AA457"/>
      <c r="AB457"/>
      <c r="AD457"/>
      <c r="AE457" s="7"/>
      <c r="AF457" s="7"/>
      <c r="AG457" s="1"/>
    </row>
    <row r="458" spans="22:34">
      <c r="V458" s="4" t="s">
        <v>313</v>
      </c>
      <c r="W458" s="4" t="s">
        <v>693</v>
      </c>
      <c r="X458" s="2"/>
      <c r="Z458"/>
      <c r="AA458"/>
      <c r="AB458"/>
      <c r="AD458"/>
      <c r="AE458" s="7"/>
      <c r="AF458" s="7"/>
      <c r="AG458" s="1"/>
    </row>
    <row r="459" spans="22:34">
      <c r="V459" s="4" t="s">
        <v>317</v>
      </c>
      <c r="W459" s="4" t="s">
        <v>695</v>
      </c>
      <c r="X459" s="2"/>
      <c r="Z459"/>
      <c r="AA459"/>
      <c r="AB459"/>
      <c r="AD459"/>
      <c r="AE459" s="7"/>
      <c r="AF459" s="7"/>
      <c r="AG459" s="1"/>
    </row>
    <row r="460" spans="22:34">
      <c r="V460" s="4" t="s">
        <v>317</v>
      </c>
      <c r="W460" s="4" t="s">
        <v>1277</v>
      </c>
      <c r="X460" s="2"/>
      <c r="Z460"/>
      <c r="AA460"/>
      <c r="AB460"/>
      <c r="AD460"/>
      <c r="AE460" s="7"/>
      <c r="AF460" s="7"/>
      <c r="AG460" s="1"/>
    </row>
    <row r="461" spans="22:34">
      <c r="V461" s="4" t="s">
        <v>317</v>
      </c>
      <c r="W461" s="4" t="s">
        <v>992</v>
      </c>
      <c r="X461" s="2"/>
      <c r="Z461"/>
      <c r="AA461"/>
      <c r="AB461"/>
      <c r="AD461"/>
      <c r="AE461" s="7"/>
      <c r="AF461" s="7"/>
      <c r="AG461" s="1"/>
    </row>
    <row r="462" spans="22:34">
      <c r="V462" s="4" t="s">
        <v>317</v>
      </c>
      <c r="W462" s="4" t="s">
        <v>1278</v>
      </c>
      <c r="X462" s="2"/>
      <c r="Z462"/>
      <c r="AA462"/>
      <c r="AB462"/>
      <c r="AD462"/>
      <c r="AE462" s="7"/>
      <c r="AF462" s="7"/>
      <c r="AG462" s="1"/>
    </row>
    <row r="463" spans="22:34">
      <c r="V463" s="4" t="s">
        <v>317</v>
      </c>
      <c r="W463" s="4" t="s">
        <v>994</v>
      </c>
      <c r="X463" s="2"/>
      <c r="Z463"/>
      <c r="AA463"/>
      <c r="AB463"/>
      <c r="AD463"/>
      <c r="AE463" s="7"/>
      <c r="AF463" s="7"/>
      <c r="AG463" s="1"/>
    </row>
    <row r="464" spans="22:34">
      <c r="V464" s="4" t="s">
        <v>317</v>
      </c>
      <c r="W464" s="4" t="s">
        <v>996</v>
      </c>
      <c r="X464" s="2"/>
      <c r="Z464"/>
      <c r="AA464"/>
      <c r="AB464"/>
      <c r="AD464"/>
      <c r="AE464" s="7"/>
      <c r="AF464" s="7"/>
      <c r="AG464" s="1"/>
    </row>
    <row r="465" spans="22:23">
      <c r="V465" s="4" t="s">
        <v>317</v>
      </c>
      <c r="W465" s="4" t="s">
        <v>998</v>
      </c>
    </row>
    <row r="466" spans="22:23">
      <c r="V466" s="4" t="s">
        <v>317</v>
      </c>
      <c r="W466" s="4" t="s">
        <v>1000</v>
      </c>
    </row>
    <row r="467" spans="22:23">
      <c r="V467" s="4" t="s">
        <v>317</v>
      </c>
      <c r="W467" s="4" t="s">
        <v>1002</v>
      </c>
    </row>
    <row r="468" spans="22:23">
      <c r="V468" s="4" t="s">
        <v>317</v>
      </c>
      <c r="W468" s="4" t="s">
        <v>1279</v>
      </c>
    </row>
    <row r="469" spans="22:23">
      <c r="V469" s="4" t="s">
        <v>317</v>
      </c>
      <c r="W469" s="4" t="s">
        <v>1280</v>
      </c>
    </row>
    <row r="470" spans="22:23">
      <c r="V470" s="4" t="s">
        <v>317</v>
      </c>
      <c r="W470" s="4" t="s">
        <v>1004</v>
      </c>
    </row>
    <row r="471" spans="22:23">
      <c r="V471" s="4" t="s">
        <v>317</v>
      </c>
      <c r="W471" s="4" t="s">
        <v>1281</v>
      </c>
    </row>
    <row r="472" spans="22:23">
      <c r="V472" s="4" t="s">
        <v>317</v>
      </c>
      <c r="W472" s="4" t="s">
        <v>1006</v>
      </c>
    </row>
    <row r="473" spans="22:23">
      <c r="V473" s="4" t="s">
        <v>317</v>
      </c>
      <c r="W473" s="4" t="s">
        <v>1282</v>
      </c>
    </row>
    <row r="474" spans="22:23">
      <c r="V474" s="4" t="s">
        <v>317</v>
      </c>
      <c r="W474" s="4" t="s">
        <v>1283</v>
      </c>
    </row>
    <row r="475" spans="22:23">
      <c r="V475" s="4" t="s">
        <v>317</v>
      </c>
      <c r="W475" s="4" t="s">
        <v>1284</v>
      </c>
    </row>
    <row r="476" spans="22:23">
      <c r="V476" s="4" t="s">
        <v>317</v>
      </c>
      <c r="W476" s="4" t="s">
        <v>1285</v>
      </c>
    </row>
    <row r="477" spans="22:23">
      <c r="V477" s="4" t="s">
        <v>317</v>
      </c>
      <c r="W477" s="4" t="s">
        <v>1286</v>
      </c>
    </row>
    <row r="478" spans="22:23">
      <c r="V478" s="4" t="s">
        <v>317</v>
      </c>
      <c r="W478" s="4" t="s">
        <v>1008</v>
      </c>
    </row>
    <row r="479" spans="22:23">
      <c r="V479" s="4" t="s">
        <v>317</v>
      </c>
      <c r="W479" s="4" t="s">
        <v>697</v>
      </c>
    </row>
    <row r="480" spans="22:23">
      <c r="V480" s="4" t="s">
        <v>317</v>
      </c>
      <c r="W480" s="4" t="s">
        <v>1287</v>
      </c>
    </row>
    <row r="481" spans="22:23">
      <c r="V481" s="4" t="s">
        <v>317</v>
      </c>
      <c r="W481" s="4" t="s">
        <v>1288</v>
      </c>
    </row>
    <row r="482" spans="22:23">
      <c r="V482" s="4" t="s">
        <v>317</v>
      </c>
      <c r="W482" s="4" t="s">
        <v>1289</v>
      </c>
    </row>
    <row r="483" spans="22:23">
      <c r="V483" s="4" t="s">
        <v>317</v>
      </c>
      <c r="W483" s="4" t="s">
        <v>1290</v>
      </c>
    </row>
    <row r="484" spans="22:23">
      <c r="V484" s="4" t="s">
        <v>321</v>
      </c>
      <c r="W484" s="4" t="s">
        <v>1010</v>
      </c>
    </row>
    <row r="485" spans="22:23">
      <c r="V485" s="4" t="s">
        <v>321</v>
      </c>
      <c r="W485" s="4" t="s">
        <v>699</v>
      </c>
    </row>
    <row r="486" spans="22:23">
      <c r="V486" s="4" t="s">
        <v>321</v>
      </c>
      <c r="W486" s="4" t="s">
        <v>1291</v>
      </c>
    </row>
    <row r="487" spans="22:23">
      <c r="V487" s="4" t="s">
        <v>321</v>
      </c>
      <c r="W487" s="4" t="s">
        <v>1012</v>
      </c>
    </row>
    <row r="488" spans="22:23">
      <c r="V488" s="4" t="s">
        <v>321</v>
      </c>
      <c r="W488" s="4" t="s">
        <v>1014</v>
      </c>
    </row>
    <row r="489" spans="22:23">
      <c r="V489" s="4" t="s">
        <v>321</v>
      </c>
      <c r="W489" s="4" t="s">
        <v>1292</v>
      </c>
    </row>
    <row r="490" spans="22:23">
      <c r="V490" s="4" t="s">
        <v>321</v>
      </c>
      <c r="W490" s="4" t="s">
        <v>1293</v>
      </c>
    </row>
    <row r="491" spans="22:23">
      <c r="V491" s="4" t="s">
        <v>321</v>
      </c>
      <c r="W491" s="4" t="s">
        <v>1016</v>
      </c>
    </row>
    <row r="492" spans="22:23">
      <c r="V492" s="4" t="s">
        <v>321</v>
      </c>
      <c r="W492" s="4" t="s">
        <v>1294</v>
      </c>
    </row>
    <row r="493" spans="22:23">
      <c r="V493" s="4" t="s">
        <v>321</v>
      </c>
      <c r="W493" s="4" t="s">
        <v>1295</v>
      </c>
    </row>
    <row r="494" spans="22:23">
      <c r="V494" s="4" t="s">
        <v>321</v>
      </c>
      <c r="W494" s="4" t="s">
        <v>1296</v>
      </c>
    </row>
    <row r="495" spans="22:23">
      <c r="V495" s="4" t="s">
        <v>321</v>
      </c>
      <c r="W495" s="4" t="s">
        <v>1297</v>
      </c>
    </row>
    <row r="496" spans="22:23">
      <c r="V496" s="4" t="s">
        <v>321</v>
      </c>
      <c r="W496" s="4" t="s">
        <v>1298</v>
      </c>
    </row>
    <row r="497" spans="22:23">
      <c r="V497" s="4" t="s">
        <v>321</v>
      </c>
      <c r="W497" s="4" t="s">
        <v>1299</v>
      </c>
    </row>
    <row r="498" spans="22:23">
      <c r="V498" s="4" t="s">
        <v>321</v>
      </c>
      <c r="W498" s="4" t="s">
        <v>1300</v>
      </c>
    </row>
    <row r="499" spans="22:23">
      <c r="V499" s="4" t="s">
        <v>321</v>
      </c>
      <c r="W499" s="4" t="s">
        <v>1301</v>
      </c>
    </row>
    <row r="500" spans="22:23">
      <c r="V500" s="4" t="s">
        <v>321</v>
      </c>
      <c r="W500" s="4" t="s">
        <v>1302</v>
      </c>
    </row>
    <row r="501" spans="22:23">
      <c r="V501" s="4" t="s">
        <v>321</v>
      </c>
      <c r="W501" s="4" t="s">
        <v>1303</v>
      </c>
    </row>
    <row r="502" spans="22:23">
      <c r="V502" s="4" t="s">
        <v>321</v>
      </c>
      <c r="W502" s="4" t="s">
        <v>1304</v>
      </c>
    </row>
    <row r="503" spans="22:23">
      <c r="V503" s="4" t="s">
        <v>321</v>
      </c>
      <c r="W503" s="4" t="s">
        <v>1305</v>
      </c>
    </row>
    <row r="504" spans="22:23">
      <c r="V504" s="4" t="s">
        <v>321</v>
      </c>
      <c r="W504" s="4" t="s">
        <v>1306</v>
      </c>
    </row>
    <row r="505" spans="22:23">
      <c r="V505" s="4" t="s">
        <v>321</v>
      </c>
      <c r="W505" s="4" t="s">
        <v>1307</v>
      </c>
    </row>
    <row r="506" spans="22:23">
      <c r="V506" s="4" t="s">
        <v>321</v>
      </c>
      <c r="W506" s="4" t="s">
        <v>1308</v>
      </c>
    </row>
    <row r="507" spans="22:23">
      <c r="V507" s="4" t="s">
        <v>321</v>
      </c>
      <c r="W507" s="4" t="s">
        <v>1309</v>
      </c>
    </row>
    <row r="508" spans="22:23">
      <c r="V508" s="4" t="s">
        <v>321</v>
      </c>
      <c r="W508" s="4" t="s">
        <v>1310</v>
      </c>
    </row>
    <row r="509" spans="22:23">
      <c r="V509" s="4" t="s">
        <v>321</v>
      </c>
      <c r="W509" s="4" t="s">
        <v>1311</v>
      </c>
    </row>
    <row r="510" spans="22:23">
      <c r="V510" s="4" t="s">
        <v>321</v>
      </c>
      <c r="W510" s="4" t="s">
        <v>1312</v>
      </c>
    </row>
    <row r="511" spans="22:23">
      <c r="V511" s="4" t="s">
        <v>321</v>
      </c>
      <c r="W511" s="4" t="s">
        <v>1167</v>
      </c>
    </row>
    <row r="512" spans="22:23">
      <c r="V512" s="4" t="s">
        <v>321</v>
      </c>
      <c r="W512" s="4" t="s">
        <v>1313</v>
      </c>
    </row>
    <row r="513" spans="22:23">
      <c r="V513" s="4" t="s">
        <v>321</v>
      </c>
      <c r="W513" s="4" t="s">
        <v>1022</v>
      </c>
    </row>
    <row r="514" spans="22:23">
      <c r="V514" s="4" t="s">
        <v>321</v>
      </c>
      <c r="W514" s="4" t="s">
        <v>1314</v>
      </c>
    </row>
    <row r="515" spans="22:23">
      <c r="V515" s="4" t="s">
        <v>321</v>
      </c>
      <c r="W515" s="4" t="s">
        <v>1315</v>
      </c>
    </row>
    <row r="516" spans="22:23">
      <c r="V516" s="4" t="s">
        <v>321</v>
      </c>
      <c r="W516" s="4" t="s">
        <v>1316</v>
      </c>
    </row>
    <row r="517" spans="22:23">
      <c r="V517" s="4" t="s">
        <v>321</v>
      </c>
      <c r="W517" s="4" t="s">
        <v>1317</v>
      </c>
    </row>
    <row r="518" spans="22:23">
      <c r="V518" s="4" t="s">
        <v>321</v>
      </c>
      <c r="W518" s="4" t="s">
        <v>1318</v>
      </c>
    </row>
    <row r="519" spans="22:23">
      <c r="V519" s="4" t="s">
        <v>326</v>
      </c>
      <c r="W519" s="4" t="s">
        <v>415</v>
      </c>
    </row>
    <row r="520" spans="22:23">
      <c r="V520" s="4" t="s">
        <v>326</v>
      </c>
      <c r="W520" s="4" t="s">
        <v>701</v>
      </c>
    </row>
    <row r="521" spans="22:23">
      <c r="V521" s="4" t="s">
        <v>326</v>
      </c>
      <c r="W521" s="4" t="s">
        <v>1024</v>
      </c>
    </row>
    <row r="522" spans="22:23">
      <c r="V522" s="4" t="s">
        <v>326</v>
      </c>
      <c r="W522" s="4" t="s">
        <v>576</v>
      </c>
    </row>
    <row r="523" spans="22:23">
      <c r="V523" s="4" t="s">
        <v>326</v>
      </c>
      <c r="W523" s="4" t="s">
        <v>703</v>
      </c>
    </row>
    <row r="524" spans="22:23">
      <c r="V524" s="4" t="s">
        <v>326</v>
      </c>
      <c r="W524" s="4" t="s">
        <v>1319</v>
      </c>
    </row>
    <row r="525" spans="22:23">
      <c r="V525" s="4" t="s">
        <v>326</v>
      </c>
      <c r="W525" s="4" t="s">
        <v>705</v>
      </c>
    </row>
    <row r="526" spans="22:23">
      <c r="V526" s="4" t="s">
        <v>326</v>
      </c>
      <c r="W526" s="4" t="s">
        <v>1320</v>
      </c>
    </row>
    <row r="527" spans="22:23">
      <c r="V527" s="4" t="s">
        <v>326</v>
      </c>
      <c r="W527" s="4" t="s">
        <v>709</v>
      </c>
    </row>
    <row r="528" spans="22:23">
      <c r="V528" s="4" t="s">
        <v>326</v>
      </c>
      <c r="W528" s="4" t="s">
        <v>1321</v>
      </c>
    </row>
    <row r="529" spans="22:23">
      <c r="V529" s="4" t="s">
        <v>326</v>
      </c>
      <c r="W529" s="4" t="s">
        <v>711</v>
      </c>
    </row>
    <row r="530" spans="22:23">
      <c r="V530" s="4" t="s">
        <v>326</v>
      </c>
      <c r="W530" s="4" t="s">
        <v>713</v>
      </c>
    </row>
    <row r="531" spans="22:23">
      <c r="V531" s="4" t="s">
        <v>326</v>
      </c>
      <c r="W531" s="4" t="s">
        <v>715</v>
      </c>
    </row>
    <row r="532" spans="22:23">
      <c r="V532" s="4" t="s">
        <v>326</v>
      </c>
      <c r="W532" s="4" t="s">
        <v>717</v>
      </c>
    </row>
    <row r="533" spans="22:23">
      <c r="V533" s="4" t="s">
        <v>326</v>
      </c>
      <c r="W533" s="4" t="s">
        <v>719</v>
      </c>
    </row>
    <row r="534" spans="22:23">
      <c r="V534" s="4" t="s">
        <v>326</v>
      </c>
      <c r="W534" s="4" t="s">
        <v>1026</v>
      </c>
    </row>
    <row r="535" spans="22:23">
      <c r="V535" s="4" t="s">
        <v>326</v>
      </c>
      <c r="W535" s="4" t="s">
        <v>721</v>
      </c>
    </row>
    <row r="536" spans="22:23">
      <c r="V536" s="4" t="s">
        <v>326</v>
      </c>
      <c r="W536" s="4" t="s">
        <v>578</v>
      </c>
    </row>
    <row r="537" spans="22:23">
      <c r="V537" s="4" t="s">
        <v>326</v>
      </c>
      <c r="W537" s="4" t="s">
        <v>723</v>
      </c>
    </row>
    <row r="538" spans="22:23">
      <c r="V538" s="4" t="s">
        <v>326</v>
      </c>
      <c r="W538" s="4" t="s">
        <v>725</v>
      </c>
    </row>
    <row r="539" spans="22:23">
      <c r="V539" s="4" t="s">
        <v>326</v>
      </c>
      <c r="W539" s="4" t="s">
        <v>580</v>
      </c>
    </row>
    <row r="540" spans="22:23">
      <c r="V540" s="4" t="s">
        <v>326</v>
      </c>
      <c r="W540" s="4" t="s">
        <v>727</v>
      </c>
    </row>
    <row r="541" spans="22:23">
      <c r="V541" s="4" t="s">
        <v>326</v>
      </c>
      <c r="W541" s="4" t="s">
        <v>517</v>
      </c>
    </row>
    <row r="542" spans="22:23">
      <c r="V542" s="4" t="s">
        <v>326</v>
      </c>
      <c r="W542" s="4" t="s">
        <v>1322</v>
      </c>
    </row>
    <row r="543" spans="22:23">
      <c r="V543" s="4" t="s">
        <v>326</v>
      </c>
      <c r="W543" s="4" t="s">
        <v>1323</v>
      </c>
    </row>
    <row r="544" spans="22:23">
      <c r="V544" s="4" t="s">
        <v>326</v>
      </c>
      <c r="W544" s="4" t="s">
        <v>582</v>
      </c>
    </row>
    <row r="545" spans="22:23">
      <c r="V545" s="4" t="s">
        <v>326</v>
      </c>
      <c r="W545" s="4" t="s">
        <v>729</v>
      </c>
    </row>
    <row r="546" spans="22:23">
      <c r="V546" s="4" t="s">
        <v>326</v>
      </c>
      <c r="W546" s="4" t="s">
        <v>731</v>
      </c>
    </row>
    <row r="547" spans="22:23">
      <c r="V547" s="4" t="s">
        <v>326</v>
      </c>
      <c r="W547" s="4" t="s">
        <v>733</v>
      </c>
    </row>
    <row r="548" spans="22:23">
      <c r="V548" s="4" t="s">
        <v>326</v>
      </c>
      <c r="W548" s="4" t="s">
        <v>584</v>
      </c>
    </row>
    <row r="549" spans="22:23">
      <c r="V549" s="4" t="s">
        <v>326</v>
      </c>
      <c r="W549" s="4" t="s">
        <v>735</v>
      </c>
    </row>
    <row r="550" spans="22:23">
      <c r="V550" s="4" t="s">
        <v>326</v>
      </c>
      <c r="W550" s="4" t="s">
        <v>737</v>
      </c>
    </row>
    <row r="551" spans="22:23">
      <c r="V551" s="4" t="s">
        <v>326</v>
      </c>
      <c r="W551" s="4" t="s">
        <v>739</v>
      </c>
    </row>
    <row r="552" spans="22:23">
      <c r="V552" s="4" t="s">
        <v>326</v>
      </c>
      <c r="W552" s="4" t="s">
        <v>741</v>
      </c>
    </row>
    <row r="553" spans="22:23">
      <c r="V553" s="4" t="s">
        <v>326</v>
      </c>
      <c r="W553" s="4" t="s">
        <v>743</v>
      </c>
    </row>
    <row r="554" spans="22:23">
      <c r="V554" s="4" t="s">
        <v>326</v>
      </c>
      <c r="W554" s="4" t="s">
        <v>745</v>
      </c>
    </row>
    <row r="555" spans="22:23">
      <c r="V555" s="4" t="s">
        <v>326</v>
      </c>
      <c r="W555" s="4" t="s">
        <v>1028</v>
      </c>
    </row>
    <row r="556" spans="22:23">
      <c r="V556" s="4" t="s">
        <v>326</v>
      </c>
      <c r="W556" s="4" t="s">
        <v>747</v>
      </c>
    </row>
    <row r="557" spans="22:23">
      <c r="V557" s="4" t="s">
        <v>326</v>
      </c>
      <c r="W557" s="4" t="s">
        <v>586</v>
      </c>
    </row>
    <row r="558" spans="22:23">
      <c r="V558" s="4" t="s">
        <v>326</v>
      </c>
      <c r="W558" s="4" t="s">
        <v>1324</v>
      </c>
    </row>
    <row r="559" spans="22:23">
      <c r="V559" s="4" t="s">
        <v>326</v>
      </c>
      <c r="W559" s="4" t="s">
        <v>751</v>
      </c>
    </row>
    <row r="560" spans="22:23">
      <c r="V560" s="4" t="s">
        <v>326</v>
      </c>
      <c r="W560" s="4" t="s">
        <v>753</v>
      </c>
    </row>
    <row r="561" spans="22:23">
      <c r="V561" s="4" t="s">
        <v>326</v>
      </c>
      <c r="W561" s="4" t="s">
        <v>1030</v>
      </c>
    </row>
    <row r="562" spans="22:23">
      <c r="V562" s="4" t="s">
        <v>326</v>
      </c>
      <c r="W562" s="4" t="s">
        <v>1032</v>
      </c>
    </row>
    <row r="563" spans="22:23">
      <c r="V563" s="4" t="s">
        <v>326</v>
      </c>
      <c r="W563" s="4" t="s">
        <v>1034</v>
      </c>
    </row>
    <row r="564" spans="22:23">
      <c r="V564" s="4" t="s">
        <v>326</v>
      </c>
      <c r="W564" s="4" t="s">
        <v>1325</v>
      </c>
    </row>
    <row r="565" spans="22:23">
      <c r="V565" s="4" t="s">
        <v>326</v>
      </c>
      <c r="W565" s="4" t="s">
        <v>1326</v>
      </c>
    </row>
    <row r="566" spans="22:23">
      <c r="V566" s="4" t="s">
        <v>326</v>
      </c>
      <c r="W566" s="4" t="s">
        <v>1036</v>
      </c>
    </row>
    <row r="567" spans="22:23">
      <c r="V567" s="4" t="s">
        <v>326</v>
      </c>
      <c r="W567" s="4" t="s">
        <v>1038</v>
      </c>
    </row>
    <row r="568" spans="22:23">
      <c r="V568" s="4" t="s">
        <v>326</v>
      </c>
      <c r="W568" s="4" t="s">
        <v>1040</v>
      </c>
    </row>
    <row r="569" spans="22:23">
      <c r="V569" s="4" t="s">
        <v>326</v>
      </c>
      <c r="W569" s="4" t="s">
        <v>1327</v>
      </c>
    </row>
    <row r="570" spans="22:23">
      <c r="V570" s="4" t="s">
        <v>326</v>
      </c>
      <c r="W570" s="4" t="s">
        <v>1328</v>
      </c>
    </row>
    <row r="571" spans="22:23">
      <c r="V571" s="4" t="s">
        <v>326</v>
      </c>
      <c r="W571" s="4" t="s">
        <v>1329</v>
      </c>
    </row>
    <row r="572" spans="22:23">
      <c r="V572" s="4" t="s">
        <v>326</v>
      </c>
      <c r="W572" s="4" t="s">
        <v>1330</v>
      </c>
    </row>
    <row r="573" spans="22:23">
      <c r="V573" s="4" t="s">
        <v>326</v>
      </c>
      <c r="W573" s="4" t="s">
        <v>1331</v>
      </c>
    </row>
    <row r="574" spans="22:23">
      <c r="V574" s="4" t="s">
        <v>326</v>
      </c>
      <c r="W574" s="4" t="s">
        <v>1332</v>
      </c>
    </row>
    <row r="575" spans="22:23">
      <c r="V575" s="4" t="s">
        <v>326</v>
      </c>
      <c r="W575" s="4" t="s">
        <v>979</v>
      </c>
    </row>
    <row r="576" spans="22:23">
      <c r="V576" s="4" t="s">
        <v>326</v>
      </c>
      <c r="W576" s="4" t="s">
        <v>1333</v>
      </c>
    </row>
    <row r="577" spans="22:23">
      <c r="V577" s="4" t="s">
        <v>326</v>
      </c>
      <c r="W577" s="4" t="s">
        <v>1334</v>
      </c>
    </row>
    <row r="578" spans="22:23">
      <c r="V578" s="4" t="s">
        <v>326</v>
      </c>
      <c r="W578" s="4" t="s">
        <v>1042</v>
      </c>
    </row>
    <row r="579" spans="22:23">
      <c r="V579" s="4" t="s">
        <v>326</v>
      </c>
      <c r="W579" s="4" t="s">
        <v>755</v>
      </c>
    </row>
    <row r="580" spans="22:23">
      <c r="V580" s="4" t="s">
        <v>326</v>
      </c>
      <c r="W580" s="4" t="s">
        <v>757</v>
      </c>
    </row>
    <row r="581" spans="22:23">
      <c r="V581" s="4" t="s">
        <v>326</v>
      </c>
      <c r="W581" s="4" t="s">
        <v>759</v>
      </c>
    </row>
    <row r="582" spans="22:23">
      <c r="V582" s="4" t="s">
        <v>331</v>
      </c>
      <c r="W582" s="4" t="s">
        <v>420</v>
      </c>
    </row>
    <row r="583" spans="22:23">
      <c r="V583" s="4" t="s">
        <v>331</v>
      </c>
      <c r="W583" s="4" t="s">
        <v>1335</v>
      </c>
    </row>
    <row r="584" spans="22:23">
      <c r="V584" s="4" t="s">
        <v>331</v>
      </c>
      <c r="W584" s="4" t="s">
        <v>588</v>
      </c>
    </row>
    <row r="585" spans="22:23">
      <c r="V585" s="4" t="s">
        <v>331</v>
      </c>
      <c r="W585" s="4" t="s">
        <v>523</v>
      </c>
    </row>
    <row r="586" spans="22:23">
      <c r="V586" s="4" t="s">
        <v>331</v>
      </c>
      <c r="W586" s="4" t="s">
        <v>1336</v>
      </c>
    </row>
    <row r="587" spans="22:23">
      <c r="V587" s="4" t="s">
        <v>331</v>
      </c>
      <c r="W587" s="4" t="s">
        <v>761</v>
      </c>
    </row>
    <row r="588" spans="22:23">
      <c r="V588" s="4" t="s">
        <v>331</v>
      </c>
      <c r="W588" s="4" t="s">
        <v>590</v>
      </c>
    </row>
    <row r="589" spans="22:23">
      <c r="V589" s="4" t="s">
        <v>331</v>
      </c>
      <c r="W589" s="4" t="s">
        <v>763</v>
      </c>
    </row>
    <row r="590" spans="22:23">
      <c r="V590" s="4" t="s">
        <v>331</v>
      </c>
      <c r="W590" s="4" t="s">
        <v>765</v>
      </c>
    </row>
    <row r="591" spans="22:23">
      <c r="V591" s="4" t="s">
        <v>331</v>
      </c>
      <c r="W591" s="4" t="s">
        <v>525</v>
      </c>
    </row>
    <row r="592" spans="22:23">
      <c r="V592" s="4" t="s">
        <v>331</v>
      </c>
      <c r="W592" s="4" t="s">
        <v>592</v>
      </c>
    </row>
    <row r="593" spans="22:23">
      <c r="V593" s="4" t="s">
        <v>331</v>
      </c>
      <c r="W593" s="4" t="s">
        <v>1044</v>
      </c>
    </row>
    <row r="594" spans="22:23">
      <c r="V594" s="4" t="s">
        <v>331</v>
      </c>
      <c r="W594" s="4" t="s">
        <v>1337</v>
      </c>
    </row>
    <row r="595" spans="22:23">
      <c r="V595" s="4" t="s">
        <v>331</v>
      </c>
      <c r="W595" s="4" t="s">
        <v>527</v>
      </c>
    </row>
    <row r="596" spans="22:23">
      <c r="V596" s="4" t="s">
        <v>331</v>
      </c>
      <c r="W596" s="4" t="s">
        <v>767</v>
      </c>
    </row>
    <row r="597" spans="22:23">
      <c r="V597" s="4" t="s">
        <v>331</v>
      </c>
      <c r="W597" s="4" t="s">
        <v>1338</v>
      </c>
    </row>
    <row r="598" spans="22:23">
      <c r="V598" s="4" t="s">
        <v>331</v>
      </c>
      <c r="W598" s="4" t="s">
        <v>594</v>
      </c>
    </row>
    <row r="599" spans="22:23">
      <c r="V599" s="4" t="s">
        <v>331</v>
      </c>
      <c r="W599" s="4" t="s">
        <v>769</v>
      </c>
    </row>
    <row r="600" spans="22:23">
      <c r="V600" s="4" t="s">
        <v>331</v>
      </c>
      <c r="W600" s="4" t="s">
        <v>597</v>
      </c>
    </row>
    <row r="601" spans="22:23">
      <c r="V601" s="4" t="s">
        <v>331</v>
      </c>
      <c r="W601" s="4" t="s">
        <v>771</v>
      </c>
    </row>
    <row r="602" spans="22:23">
      <c r="V602" s="4" t="s">
        <v>331</v>
      </c>
      <c r="W602" s="4" t="s">
        <v>1339</v>
      </c>
    </row>
    <row r="603" spans="22:23">
      <c r="V603" s="4" t="s">
        <v>331</v>
      </c>
      <c r="W603" s="4" t="s">
        <v>773</v>
      </c>
    </row>
    <row r="604" spans="22:23">
      <c r="V604" s="4" t="s">
        <v>331</v>
      </c>
      <c r="W604" s="4" t="s">
        <v>1046</v>
      </c>
    </row>
    <row r="605" spans="22:23">
      <c r="V605" s="4" t="s">
        <v>331</v>
      </c>
      <c r="W605" s="4" t="s">
        <v>1048</v>
      </c>
    </row>
    <row r="606" spans="22:23">
      <c r="V606" s="4" t="s">
        <v>331</v>
      </c>
      <c r="W606" s="4" t="s">
        <v>424</v>
      </c>
    </row>
    <row r="607" spans="22:23">
      <c r="V607" s="4" t="s">
        <v>331</v>
      </c>
      <c r="W607" s="4" t="s">
        <v>599</v>
      </c>
    </row>
    <row r="608" spans="22:23">
      <c r="V608" s="4" t="s">
        <v>331</v>
      </c>
      <c r="W608" s="4" t="s">
        <v>601</v>
      </c>
    </row>
    <row r="609" spans="22:23">
      <c r="V609" s="4" t="s">
        <v>331</v>
      </c>
      <c r="W609" s="4" t="s">
        <v>1050</v>
      </c>
    </row>
    <row r="610" spans="22:23">
      <c r="V610" s="4" t="s">
        <v>331</v>
      </c>
      <c r="W610" s="4" t="s">
        <v>603</v>
      </c>
    </row>
    <row r="611" spans="22:23">
      <c r="V611" s="4" t="s">
        <v>331</v>
      </c>
      <c r="W611" s="4" t="s">
        <v>775</v>
      </c>
    </row>
    <row r="612" spans="22:23">
      <c r="V612" s="4" t="s">
        <v>331</v>
      </c>
      <c r="W612" s="4" t="s">
        <v>1340</v>
      </c>
    </row>
    <row r="613" spans="22:23">
      <c r="V613" s="4" t="s">
        <v>331</v>
      </c>
      <c r="W613" s="4" t="s">
        <v>1341</v>
      </c>
    </row>
    <row r="614" spans="22:23">
      <c r="V614" s="4" t="s">
        <v>331</v>
      </c>
      <c r="W614" s="4" t="s">
        <v>1342</v>
      </c>
    </row>
    <row r="615" spans="22:23">
      <c r="V615" s="4" t="s">
        <v>331</v>
      </c>
      <c r="W615" s="4" t="s">
        <v>1343</v>
      </c>
    </row>
    <row r="616" spans="22:23">
      <c r="V616" s="4" t="s">
        <v>331</v>
      </c>
      <c r="W616" s="4" t="s">
        <v>1054</v>
      </c>
    </row>
    <row r="617" spans="22:23">
      <c r="V617" s="4" t="s">
        <v>331</v>
      </c>
      <c r="W617" s="4" t="s">
        <v>1344</v>
      </c>
    </row>
    <row r="618" spans="22:23">
      <c r="V618" s="4" t="s">
        <v>331</v>
      </c>
      <c r="W618" s="4" t="s">
        <v>1345</v>
      </c>
    </row>
    <row r="619" spans="22:23">
      <c r="V619" s="4" t="s">
        <v>331</v>
      </c>
      <c r="W619" s="4" t="s">
        <v>777</v>
      </c>
    </row>
    <row r="620" spans="22:23">
      <c r="V620" s="4" t="s">
        <v>331</v>
      </c>
      <c r="W620" s="4" t="s">
        <v>605</v>
      </c>
    </row>
    <row r="621" spans="22:23">
      <c r="V621" s="4" t="s">
        <v>331</v>
      </c>
      <c r="W621" s="4" t="s">
        <v>1346</v>
      </c>
    </row>
    <row r="622" spans="22:23">
      <c r="V622" s="4" t="s">
        <v>331</v>
      </c>
      <c r="W622" s="4" t="s">
        <v>1347</v>
      </c>
    </row>
    <row r="623" spans="22:23">
      <c r="V623" s="4" t="s">
        <v>331</v>
      </c>
      <c r="W623" s="4" t="s">
        <v>1348</v>
      </c>
    </row>
    <row r="624" spans="22:23">
      <c r="V624" s="4" t="s">
        <v>331</v>
      </c>
      <c r="W624" s="4" t="s">
        <v>1349</v>
      </c>
    </row>
    <row r="625" spans="22:23">
      <c r="V625" s="4" t="s">
        <v>331</v>
      </c>
      <c r="W625" s="4" t="s">
        <v>1350</v>
      </c>
    </row>
    <row r="626" spans="22:23">
      <c r="V626" s="4" t="s">
        <v>331</v>
      </c>
      <c r="W626" s="4" t="s">
        <v>1351</v>
      </c>
    </row>
    <row r="627" spans="22:23">
      <c r="V627" s="4" t="s">
        <v>331</v>
      </c>
      <c r="W627" s="4" t="s">
        <v>1352</v>
      </c>
    </row>
    <row r="628" spans="22:23">
      <c r="V628" s="4" t="s">
        <v>331</v>
      </c>
      <c r="W628" s="4" t="s">
        <v>1353</v>
      </c>
    </row>
    <row r="629" spans="22:23">
      <c r="V629" s="4" t="s">
        <v>331</v>
      </c>
      <c r="W629" s="4" t="s">
        <v>1354</v>
      </c>
    </row>
    <row r="630" spans="22:23">
      <c r="V630" s="4" t="s">
        <v>331</v>
      </c>
      <c r="W630" s="4" t="s">
        <v>1355</v>
      </c>
    </row>
    <row r="631" spans="22:23">
      <c r="V631" s="4" t="s">
        <v>331</v>
      </c>
      <c r="W631" s="4" t="s">
        <v>1058</v>
      </c>
    </row>
    <row r="632" spans="22:23">
      <c r="V632" s="4" t="s">
        <v>331</v>
      </c>
      <c r="W632" s="4" t="s">
        <v>1060</v>
      </c>
    </row>
    <row r="633" spans="22:23">
      <c r="V633" s="4" t="s">
        <v>331</v>
      </c>
      <c r="W633" s="4" t="s">
        <v>1356</v>
      </c>
    </row>
    <row r="634" spans="22:23">
      <c r="V634" s="4" t="s">
        <v>331</v>
      </c>
      <c r="W634" s="4" t="s">
        <v>1357</v>
      </c>
    </row>
    <row r="635" spans="22:23">
      <c r="V635" s="4" t="s">
        <v>331</v>
      </c>
      <c r="W635" s="4" t="s">
        <v>1358</v>
      </c>
    </row>
    <row r="636" spans="22:23">
      <c r="V636" s="4" t="s">
        <v>4</v>
      </c>
      <c r="W636" s="4" t="s">
        <v>40</v>
      </c>
    </row>
    <row r="637" spans="22:23">
      <c r="V637" s="4" t="s">
        <v>4</v>
      </c>
      <c r="W637" s="4" t="s">
        <v>1359</v>
      </c>
    </row>
    <row r="638" spans="22:23">
      <c r="V638" s="4" t="s">
        <v>4</v>
      </c>
      <c r="W638" s="4" t="s">
        <v>1360</v>
      </c>
    </row>
    <row r="639" spans="22:23">
      <c r="V639" s="4" t="s">
        <v>4</v>
      </c>
      <c r="W639" s="4" t="s">
        <v>1361</v>
      </c>
    </row>
    <row r="640" spans="22:23">
      <c r="V640" s="4" t="s">
        <v>4</v>
      </c>
      <c r="W640" s="4" t="s">
        <v>1362</v>
      </c>
    </row>
    <row r="641" spans="22:23">
      <c r="V641" s="4" t="s">
        <v>4</v>
      </c>
      <c r="W641" s="4" t="s">
        <v>1363</v>
      </c>
    </row>
    <row r="642" spans="22:23">
      <c r="V642" s="4" t="s">
        <v>4</v>
      </c>
      <c r="W642" s="4" t="s">
        <v>1364</v>
      </c>
    </row>
    <row r="643" spans="22:23">
      <c r="V643" s="4" t="s">
        <v>4</v>
      </c>
      <c r="W643" s="4" t="s">
        <v>1365</v>
      </c>
    </row>
    <row r="644" spans="22:23">
      <c r="V644" s="4" t="s">
        <v>4</v>
      </c>
      <c r="W644" s="4" t="s">
        <v>1366</v>
      </c>
    </row>
    <row r="645" spans="22:23">
      <c r="V645" s="4" t="s">
        <v>4</v>
      </c>
      <c r="W645" s="4" t="s">
        <v>1367</v>
      </c>
    </row>
    <row r="646" spans="22:23">
      <c r="V646" s="4" t="s">
        <v>4</v>
      </c>
      <c r="W646" s="4" t="s">
        <v>1368</v>
      </c>
    </row>
    <row r="647" spans="22:23">
      <c r="V647" s="4" t="s">
        <v>4</v>
      </c>
      <c r="W647" s="4" t="s">
        <v>1369</v>
      </c>
    </row>
    <row r="648" spans="22:23">
      <c r="V648" s="4" t="s">
        <v>4</v>
      </c>
      <c r="W648" s="4" t="s">
        <v>1370</v>
      </c>
    </row>
    <row r="649" spans="22:23">
      <c r="V649" s="4" t="s">
        <v>4</v>
      </c>
      <c r="W649" s="4" t="s">
        <v>1371</v>
      </c>
    </row>
    <row r="650" spans="22:23">
      <c r="V650" s="4" t="s">
        <v>4</v>
      </c>
      <c r="W650" s="4" t="s">
        <v>1372</v>
      </c>
    </row>
    <row r="651" spans="22:23">
      <c r="V651" s="4" t="s">
        <v>4</v>
      </c>
      <c r="W651" s="4" t="s">
        <v>1373</v>
      </c>
    </row>
    <row r="652" spans="22:23">
      <c r="V652" s="4" t="s">
        <v>4</v>
      </c>
      <c r="W652" s="4" t="s">
        <v>1374</v>
      </c>
    </row>
    <row r="653" spans="22:23">
      <c r="V653" s="4" t="s">
        <v>4</v>
      </c>
      <c r="W653" s="4" t="s">
        <v>1375</v>
      </c>
    </row>
    <row r="654" spans="22:23">
      <c r="V654" s="4" t="s">
        <v>4</v>
      </c>
      <c r="W654" s="4" t="s">
        <v>1376</v>
      </c>
    </row>
    <row r="655" spans="22:23">
      <c r="V655" s="4" t="s">
        <v>4</v>
      </c>
      <c r="W655" s="4" t="s">
        <v>1377</v>
      </c>
    </row>
    <row r="656" spans="22:23">
      <c r="V656" s="4" t="s">
        <v>4</v>
      </c>
      <c r="W656" s="4" t="s">
        <v>1378</v>
      </c>
    </row>
    <row r="657" spans="22:23">
      <c r="V657" s="4" t="s">
        <v>4</v>
      </c>
      <c r="W657" s="4" t="s">
        <v>1379</v>
      </c>
    </row>
    <row r="658" spans="22:23">
      <c r="V658" s="4" t="s">
        <v>4</v>
      </c>
      <c r="W658" s="4" t="s">
        <v>1380</v>
      </c>
    </row>
    <row r="659" spans="22:23">
      <c r="V659" s="4" t="s">
        <v>4</v>
      </c>
      <c r="W659" s="4" t="s">
        <v>428</v>
      </c>
    </row>
    <row r="660" spans="22:23">
      <c r="V660" s="4" t="s">
        <v>4</v>
      </c>
      <c r="W660" s="4" t="s">
        <v>529</v>
      </c>
    </row>
    <row r="661" spans="22:23">
      <c r="V661" s="4" t="s">
        <v>4</v>
      </c>
      <c r="W661" s="4" t="s">
        <v>432</v>
      </c>
    </row>
    <row r="662" spans="22:23">
      <c r="V662" s="4" t="s">
        <v>4</v>
      </c>
      <c r="W662" s="4" t="s">
        <v>436</v>
      </c>
    </row>
    <row r="663" spans="22:23">
      <c r="V663" s="4" t="s">
        <v>4</v>
      </c>
      <c r="W663" s="4" t="s">
        <v>440</v>
      </c>
    </row>
    <row r="664" spans="22:23">
      <c r="V664" s="4" t="s">
        <v>4</v>
      </c>
      <c r="W664" s="4" t="s">
        <v>1381</v>
      </c>
    </row>
    <row r="665" spans="22:23">
      <c r="V665" s="4" t="s">
        <v>4</v>
      </c>
      <c r="W665" s="4" t="s">
        <v>531</v>
      </c>
    </row>
    <row r="666" spans="22:23">
      <c r="V666" s="4" t="s">
        <v>4</v>
      </c>
      <c r="W666" s="4" t="s">
        <v>383</v>
      </c>
    </row>
    <row r="667" spans="22:23">
      <c r="V667" s="4" t="s">
        <v>4</v>
      </c>
      <c r="W667" s="4" t="s">
        <v>1382</v>
      </c>
    </row>
    <row r="668" spans="22:23">
      <c r="V668" s="4" t="s">
        <v>4</v>
      </c>
      <c r="W668" s="4" t="s">
        <v>448</v>
      </c>
    </row>
    <row r="669" spans="22:23">
      <c r="V669" s="4" t="s">
        <v>4</v>
      </c>
      <c r="W669" s="4" t="s">
        <v>453</v>
      </c>
    </row>
    <row r="670" spans="22:23">
      <c r="V670" s="4" t="s">
        <v>4</v>
      </c>
      <c r="W670" s="4" t="s">
        <v>457</v>
      </c>
    </row>
    <row r="671" spans="22:23">
      <c r="V671" s="4" t="s">
        <v>4</v>
      </c>
      <c r="W671" s="4" t="s">
        <v>1383</v>
      </c>
    </row>
    <row r="672" spans="22:23">
      <c r="V672" s="4" t="s">
        <v>4</v>
      </c>
      <c r="W672" s="4" t="s">
        <v>465</v>
      </c>
    </row>
    <row r="673" spans="22:23">
      <c r="V673" s="4" t="s">
        <v>4</v>
      </c>
      <c r="W673" s="4" t="s">
        <v>469</v>
      </c>
    </row>
    <row r="674" spans="22:23">
      <c r="V674" s="4" t="s">
        <v>4</v>
      </c>
      <c r="W674" s="4" t="s">
        <v>1384</v>
      </c>
    </row>
    <row r="675" spans="22:23">
      <c r="V675" s="4" t="s">
        <v>4</v>
      </c>
      <c r="W675" s="4" t="s">
        <v>1385</v>
      </c>
    </row>
    <row r="676" spans="22:23">
      <c r="V676" s="4" t="s">
        <v>4</v>
      </c>
      <c r="W676" s="4" t="s">
        <v>533</v>
      </c>
    </row>
    <row r="677" spans="22:23">
      <c r="V677" s="4" t="s">
        <v>4</v>
      </c>
      <c r="W677" s="4" t="s">
        <v>1386</v>
      </c>
    </row>
    <row r="678" spans="22:23">
      <c r="V678" s="4" t="s">
        <v>4</v>
      </c>
      <c r="W678" s="4" t="s">
        <v>478</v>
      </c>
    </row>
    <row r="679" spans="22:23">
      <c r="V679" s="4" t="s">
        <v>4</v>
      </c>
      <c r="W679" s="4" t="s">
        <v>779</v>
      </c>
    </row>
    <row r="680" spans="22:23">
      <c r="V680" s="4" t="s">
        <v>4</v>
      </c>
      <c r="W680" s="4" t="s">
        <v>1387</v>
      </c>
    </row>
    <row r="681" spans="22:23">
      <c r="V681" s="4" t="s">
        <v>4</v>
      </c>
      <c r="W681" s="4" t="s">
        <v>481</v>
      </c>
    </row>
    <row r="682" spans="22:23">
      <c r="V682" s="4" t="s">
        <v>4</v>
      </c>
      <c r="W682" s="4" t="s">
        <v>781</v>
      </c>
    </row>
    <row r="683" spans="22:23">
      <c r="V683" s="4" t="s">
        <v>4</v>
      </c>
      <c r="W683" s="4" t="s">
        <v>609</v>
      </c>
    </row>
    <row r="684" spans="22:23">
      <c r="V684" s="4" t="s">
        <v>4</v>
      </c>
      <c r="W684" s="4" t="s">
        <v>484</v>
      </c>
    </row>
    <row r="685" spans="22:23">
      <c r="V685" s="4" t="s">
        <v>4</v>
      </c>
      <c r="W685" s="4" t="s">
        <v>1388</v>
      </c>
    </row>
    <row r="686" spans="22:23">
      <c r="V686" s="4" t="s">
        <v>4</v>
      </c>
      <c r="W686" s="4" t="s">
        <v>611</v>
      </c>
    </row>
    <row r="687" spans="22:23">
      <c r="V687" s="4" t="s">
        <v>4</v>
      </c>
      <c r="W687" s="4" t="s">
        <v>787</v>
      </c>
    </row>
    <row r="688" spans="22:23">
      <c r="V688" s="4" t="s">
        <v>4</v>
      </c>
      <c r="W688" s="4" t="s">
        <v>785</v>
      </c>
    </row>
    <row r="689" spans="22:23">
      <c r="V689" s="4" t="s">
        <v>4</v>
      </c>
      <c r="W689" s="4" t="s">
        <v>1389</v>
      </c>
    </row>
    <row r="690" spans="22:23">
      <c r="V690" s="4" t="s">
        <v>4</v>
      </c>
      <c r="W690" s="4" t="s">
        <v>1390</v>
      </c>
    </row>
    <row r="691" spans="22:23">
      <c r="V691" s="4" t="s">
        <v>4</v>
      </c>
      <c r="W691" s="4" t="s">
        <v>1391</v>
      </c>
    </row>
    <row r="692" spans="22:23">
      <c r="V692" s="4" t="s">
        <v>4</v>
      </c>
      <c r="W692" s="4" t="s">
        <v>1392</v>
      </c>
    </row>
    <row r="693" spans="22:23">
      <c r="V693" s="4" t="s">
        <v>4</v>
      </c>
      <c r="W693" s="4" t="s">
        <v>1393</v>
      </c>
    </row>
    <row r="694" spans="22:23">
      <c r="V694" s="4" t="s">
        <v>4</v>
      </c>
      <c r="W694" s="4" t="s">
        <v>1394</v>
      </c>
    </row>
    <row r="695" spans="22:23">
      <c r="V695" s="4" t="s">
        <v>4</v>
      </c>
      <c r="W695" s="4" t="s">
        <v>1395</v>
      </c>
    </row>
    <row r="696" spans="22:23">
      <c r="V696" s="4" t="s">
        <v>4</v>
      </c>
      <c r="W696" s="4" t="s">
        <v>1396</v>
      </c>
    </row>
    <row r="697" spans="22:23">
      <c r="V697" s="4" t="s">
        <v>4</v>
      </c>
      <c r="W697" s="4" t="s">
        <v>1397</v>
      </c>
    </row>
    <row r="698" spans="22:23">
      <c r="V698" s="4" t="s">
        <v>338</v>
      </c>
      <c r="W698" s="4" t="s">
        <v>1398</v>
      </c>
    </row>
    <row r="699" spans="22:23">
      <c r="V699" s="4" t="s">
        <v>338</v>
      </c>
      <c r="W699" s="4" t="s">
        <v>1399</v>
      </c>
    </row>
    <row r="700" spans="22:23">
      <c r="V700" s="4" t="s">
        <v>338</v>
      </c>
      <c r="W700" s="4" t="s">
        <v>535</v>
      </c>
    </row>
    <row r="701" spans="22:23">
      <c r="V701" s="4" t="s">
        <v>338</v>
      </c>
      <c r="W701" s="4" t="s">
        <v>537</v>
      </c>
    </row>
    <row r="702" spans="22:23">
      <c r="V702" s="4" t="s">
        <v>338</v>
      </c>
      <c r="W702" s="4" t="s">
        <v>613</v>
      </c>
    </row>
    <row r="703" spans="22:23">
      <c r="V703" s="4" t="s">
        <v>338</v>
      </c>
      <c r="W703" s="4" t="s">
        <v>487</v>
      </c>
    </row>
    <row r="704" spans="22:23">
      <c r="V704" s="4" t="s">
        <v>338</v>
      </c>
      <c r="W704" s="4" t="s">
        <v>539</v>
      </c>
    </row>
    <row r="705" spans="22:23">
      <c r="V705" s="4" t="s">
        <v>338</v>
      </c>
      <c r="W705" s="4" t="s">
        <v>615</v>
      </c>
    </row>
    <row r="706" spans="22:23">
      <c r="V706" s="4" t="s">
        <v>338</v>
      </c>
      <c r="W706" s="4" t="s">
        <v>617</v>
      </c>
    </row>
    <row r="707" spans="22:23">
      <c r="V707" s="4" t="s">
        <v>338</v>
      </c>
      <c r="W707" s="4" t="s">
        <v>541</v>
      </c>
    </row>
    <row r="708" spans="22:23">
      <c r="V708" s="4" t="s">
        <v>338</v>
      </c>
      <c r="W708" s="4" t="s">
        <v>543</v>
      </c>
    </row>
    <row r="709" spans="22:23">
      <c r="V709" s="4" t="s">
        <v>338</v>
      </c>
      <c r="W709" s="4" t="s">
        <v>789</v>
      </c>
    </row>
    <row r="710" spans="22:23">
      <c r="V710" s="4" t="s">
        <v>338</v>
      </c>
      <c r="W710" s="4" t="s">
        <v>490</v>
      </c>
    </row>
    <row r="711" spans="22:23">
      <c r="V711" s="4" t="s">
        <v>338</v>
      </c>
      <c r="W711" s="4" t="s">
        <v>619</v>
      </c>
    </row>
    <row r="712" spans="22:23">
      <c r="V712" s="4" t="s">
        <v>338</v>
      </c>
      <c r="W712" s="4" t="s">
        <v>621</v>
      </c>
    </row>
    <row r="713" spans="22:23">
      <c r="V713" s="4" t="s">
        <v>338</v>
      </c>
      <c r="W713" s="4" t="s">
        <v>1400</v>
      </c>
    </row>
    <row r="714" spans="22:23">
      <c r="V714" s="4" t="s">
        <v>338</v>
      </c>
      <c r="W714" s="4" t="s">
        <v>623</v>
      </c>
    </row>
    <row r="715" spans="22:23">
      <c r="V715" s="4" t="s">
        <v>338</v>
      </c>
      <c r="W715" s="4" t="s">
        <v>1401</v>
      </c>
    </row>
    <row r="716" spans="22:23">
      <c r="V716" s="4" t="s">
        <v>338</v>
      </c>
      <c r="W716" s="4" t="s">
        <v>625</v>
      </c>
    </row>
    <row r="717" spans="22:23">
      <c r="V717" s="4" t="s">
        <v>338</v>
      </c>
      <c r="W717" s="4" t="s">
        <v>627</v>
      </c>
    </row>
    <row r="718" spans="22:23">
      <c r="V718" s="4" t="s">
        <v>338</v>
      </c>
      <c r="W718" s="4" t="s">
        <v>629</v>
      </c>
    </row>
    <row r="719" spans="22:23">
      <c r="V719" s="4" t="s">
        <v>338</v>
      </c>
      <c r="W719" s="4" t="s">
        <v>791</v>
      </c>
    </row>
    <row r="720" spans="22:23">
      <c r="V720" s="4" t="s">
        <v>338</v>
      </c>
      <c r="W720" s="4" t="s">
        <v>793</v>
      </c>
    </row>
    <row r="721" spans="22:23">
      <c r="V721" s="4" t="s">
        <v>338</v>
      </c>
      <c r="W721" s="4" t="s">
        <v>1402</v>
      </c>
    </row>
    <row r="722" spans="22:23">
      <c r="V722" s="4" t="s">
        <v>338</v>
      </c>
      <c r="W722" s="4" t="s">
        <v>1403</v>
      </c>
    </row>
    <row r="723" spans="22:23">
      <c r="V723" s="4" t="s">
        <v>338</v>
      </c>
      <c r="W723" s="4" t="s">
        <v>1404</v>
      </c>
    </row>
    <row r="724" spans="22:23">
      <c r="V724" s="4" t="s">
        <v>338</v>
      </c>
      <c r="W724" s="4" t="s">
        <v>1405</v>
      </c>
    </row>
    <row r="725" spans="22:23">
      <c r="V725" s="4" t="s">
        <v>338</v>
      </c>
      <c r="W725" s="4" t="s">
        <v>1406</v>
      </c>
    </row>
    <row r="726" spans="22:23">
      <c r="V726" s="4" t="s">
        <v>338</v>
      </c>
      <c r="W726" s="4" t="s">
        <v>1066</v>
      </c>
    </row>
    <row r="727" spans="22:23">
      <c r="V727" s="4" t="s">
        <v>338</v>
      </c>
      <c r="W727" s="4" t="s">
        <v>1407</v>
      </c>
    </row>
    <row r="728" spans="22:23">
      <c r="V728" s="4" t="s">
        <v>338</v>
      </c>
      <c r="W728" s="4" t="s">
        <v>1408</v>
      </c>
    </row>
    <row r="729" spans="22:23">
      <c r="V729" s="4" t="s">
        <v>338</v>
      </c>
      <c r="W729" s="4" t="s">
        <v>631</v>
      </c>
    </row>
    <row r="730" spans="22:23">
      <c r="V730" s="4" t="s">
        <v>338</v>
      </c>
      <c r="W730" s="4" t="s">
        <v>797</v>
      </c>
    </row>
    <row r="731" spans="22:23">
      <c r="V731" s="4" t="s">
        <v>342</v>
      </c>
      <c r="W731" s="4" t="s">
        <v>1068</v>
      </c>
    </row>
    <row r="732" spans="22:23">
      <c r="V732" s="4" t="s">
        <v>342</v>
      </c>
      <c r="W732" s="4" t="s">
        <v>1409</v>
      </c>
    </row>
    <row r="733" spans="22:23">
      <c r="V733" s="4" t="s">
        <v>342</v>
      </c>
      <c r="W733" s="4" t="s">
        <v>1410</v>
      </c>
    </row>
    <row r="734" spans="22:23">
      <c r="V734" s="4" t="s">
        <v>342</v>
      </c>
      <c r="W734" s="4" t="s">
        <v>1411</v>
      </c>
    </row>
    <row r="735" spans="22:23">
      <c r="V735" s="4" t="s">
        <v>342</v>
      </c>
      <c r="W735" s="4" t="s">
        <v>1412</v>
      </c>
    </row>
    <row r="736" spans="22:23">
      <c r="V736" s="4" t="s">
        <v>342</v>
      </c>
      <c r="W736" s="4" t="s">
        <v>1413</v>
      </c>
    </row>
    <row r="737" spans="22:23">
      <c r="V737" s="4" t="s">
        <v>342</v>
      </c>
      <c r="W737" s="4" t="s">
        <v>1414</v>
      </c>
    </row>
    <row r="738" spans="22:23">
      <c r="V738" s="4" t="s">
        <v>342</v>
      </c>
      <c r="W738" s="4" t="s">
        <v>1415</v>
      </c>
    </row>
    <row r="739" spans="22:23">
      <c r="V739" s="4" t="s">
        <v>342</v>
      </c>
      <c r="W739" s="4" t="s">
        <v>1416</v>
      </c>
    </row>
    <row r="740" spans="22:23">
      <c r="V740" s="4" t="s">
        <v>342</v>
      </c>
      <c r="W740" s="4" t="s">
        <v>1417</v>
      </c>
    </row>
    <row r="741" spans="22:23">
      <c r="V741" s="4" t="s">
        <v>342</v>
      </c>
      <c r="W741" s="4" t="s">
        <v>1418</v>
      </c>
    </row>
    <row r="742" spans="22:23">
      <c r="V742" s="4" t="s">
        <v>342</v>
      </c>
      <c r="W742" s="4" t="s">
        <v>1419</v>
      </c>
    </row>
    <row r="743" spans="22:23">
      <c r="V743" s="4" t="s">
        <v>342</v>
      </c>
      <c r="W743" s="4" t="s">
        <v>1420</v>
      </c>
    </row>
    <row r="744" spans="22:23">
      <c r="V744" s="4" t="s">
        <v>342</v>
      </c>
      <c r="W744" s="4" t="s">
        <v>1421</v>
      </c>
    </row>
    <row r="745" spans="22:23">
      <c r="V745" s="4" t="s">
        <v>342</v>
      </c>
      <c r="W745" s="4" t="s">
        <v>1422</v>
      </c>
    </row>
    <row r="746" spans="22:23">
      <c r="V746" s="4" t="s">
        <v>342</v>
      </c>
      <c r="W746" s="4" t="s">
        <v>1423</v>
      </c>
    </row>
    <row r="747" spans="22:23">
      <c r="V747" s="4" t="s">
        <v>342</v>
      </c>
      <c r="W747" s="4" t="s">
        <v>1424</v>
      </c>
    </row>
    <row r="748" spans="22:23">
      <c r="V748" s="4" t="s">
        <v>342</v>
      </c>
      <c r="W748" s="4" t="s">
        <v>1425</v>
      </c>
    </row>
    <row r="749" spans="22:23">
      <c r="V749" s="4" t="s">
        <v>342</v>
      </c>
      <c r="W749" s="4" t="s">
        <v>1426</v>
      </c>
    </row>
    <row r="750" spans="22:23">
      <c r="V750" s="4" t="s">
        <v>342</v>
      </c>
      <c r="W750" s="4" t="s">
        <v>1427</v>
      </c>
    </row>
    <row r="751" spans="22:23">
      <c r="V751" s="4" t="s">
        <v>342</v>
      </c>
      <c r="W751" s="4" t="s">
        <v>1428</v>
      </c>
    </row>
    <row r="752" spans="22:23">
      <c r="V752" s="4" t="s">
        <v>342</v>
      </c>
      <c r="W752" s="4" t="s">
        <v>1429</v>
      </c>
    </row>
    <row r="753" spans="22:23">
      <c r="V753" s="4" t="s">
        <v>342</v>
      </c>
      <c r="W753" s="4" t="s">
        <v>1430</v>
      </c>
    </row>
    <row r="754" spans="22:23">
      <c r="V754" s="4" t="s">
        <v>342</v>
      </c>
      <c r="W754" s="4" t="s">
        <v>1431</v>
      </c>
    </row>
    <row r="755" spans="22:23">
      <c r="V755" s="4" t="s">
        <v>342</v>
      </c>
      <c r="W755" s="4" t="s">
        <v>1432</v>
      </c>
    </row>
    <row r="756" spans="22:23">
      <c r="V756" s="4" t="s">
        <v>342</v>
      </c>
      <c r="W756" s="4" t="s">
        <v>1433</v>
      </c>
    </row>
    <row r="757" spans="22:23">
      <c r="V757" s="4" t="s">
        <v>342</v>
      </c>
      <c r="W757" s="4" t="s">
        <v>1434</v>
      </c>
    </row>
    <row r="758" spans="22:23">
      <c r="V758" s="4" t="s">
        <v>342</v>
      </c>
      <c r="W758" s="4" t="s">
        <v>1435</v>
      </c>
    </row>
    <row r="759" spans="22:23">
      <c r="V759" s="4" t="s">
        <v>342</v>
      </c>
      <c r="W759" s="4" t="s">
        <v>1436</v>
      </c>
    </row>
    <row r="760" spans="22:23">
      <c r="V760" s="4" t="s">
        <v>342</v>
      </c>
      <c r="W760" s="4" t="s">
        <v>1437</v>
      </c>
    </row>
    <row r="761" spans="22:23">
      <c r="V761" s="4" t="s">
        <v>346</v>
      </c>
      <c r="W761" s="4" t="s">
        <v>1070</v>
      </c>
    </row>
    <row r="762" spans="22:23">
      <c r="V762" s="4" t="s">
        <v>346</v>
      </c>
      <c r="W762" s="4" t="s">
        <v>1438</v>
      </c>
    </row>
    <row r="763" spans="22:23">
      <c r="V763" s="4" t="s">
        <v>346</v>
      </c>
      <c r="W763" s="4" t="s">
        <v>1439</v>
      </c>
    </row>
    <row r="764" spans="22:23">
      <c r="V764" s="4" t="s">
        <v>346</v>
      </c>
      <c r="W764" s="4" t="s">
        <v>1440</v>
      </c>
    </row>
    <row r="765" spans="22:23">
      <c r="V765" s="4" t="s">
        <v>346</v>
      </c>
      <c r="W765" s="4" t="s">
        <v>1441</v>
      </c>
    </row>
    <row r="766" spans="22:23">
      <c r="V766" s="4" t="s">
        <v>346</v>
      </c>
      <c r="W766" s="4" t="s">
        <v>1442</v>
      </c>
    </row>
    <row r="767" spans="22:23">
      <c r="V767" s="4" t="s">
        <v>346</v>
      </c>
      <c r="W767" s="4" t="s">
        <v>1443</v>
      </c>
    </row>
    <row r="768" spans="22:23">
      <c r="V768" s="4" t="s">
        <v>346</v>
      </c>
      <c r="W768" s="4" t="s">
        <v>1444</v>
      </c>
    </row>
    <row r="769" spans="22:23">
      <c r="V769" s="4" t="s">
        <v>346</v>
      </c>
      <c r="W769" s="4" t="s">
        <v>1445</v>
      </c>
    </row>
    <row r="770" spans="22:23">
      <c r="V770" s="4" t="s">
        <v>346</v>
      </c>
      <c r="W770" s="4" t="s">
        <v>1446</v>
      </c>
    </row>
    <row r="771" spans="22:23">
      <c r="V771" s="4" t="s">
        <v>346</v>
      </c>
      <c r="W771" s="4" t="s">
        <v>1447</v>
      </c>
    </row>
    <row r="772" spans="22:23">
      <c r="V772" s="4" t="s">
        <v>346</v>
      </c>
      <c r="W772" s="4" t="s">
        <v>1448</v>
      </c>
    </row>
    <row r="773" spans="22:23">
      <c r="V773" s="4" t="s">
        <v>346</v>
      </c>
      <c r="W773" s="4" t="s">
        <v>1449</v>
      </c>
    </row>
    <row r="774" spans="22:23">
      <c r="V774" s="4" t="s">
        <v>346</v>
      </c>
      <c r="W774" s="4" t="s">
        <v>1450</v>
      </c>
    </row>
    <row r="775" spans="22:23">
      <c r="V775" s="4" t="s">
        <v>346</v>
      </c>
      <c r="W775" s="4" t="s">
        <v>1069</v>
      </c>
    </row>
    <row r="776" spans="22:23">
      <c r="V776" s="4" t="s">
        <v>350</v>
      </c>
      <c r="W776" s="4" t="s">
        <v>1072</v>
      </c>
    </row>
    <row r="777" spans="22:23">
      <c r="V777" s="4" t="s">
        <v>350</v>
      </c>
      <c r="W777" s="4" t="s">
        <v>1451</v>
      </c>
    </row>
    <row r="778" spans="22:23">
      <c r="V778" s="4" t="s">
        <v>350</v>
      </c>
      <c r="W778" s="4" t="s">
        <v>1452</v>
      </c>
    </row>
    <row r="779" spans="22:23">
      <c r="V779" s="4" t="s">
        <v>350</v>
      </c>
      <c r="W779" s="4" t="s">
        <v>1453</v>
      </c>
    </row>
    <row r="780" spans="22:23">
      <c r="V780" s="4" t="s">
        <v>350</v>
      </c>
      <c r="W780" s="4" t="s">
        <v>1454</v>
      </c>
    </row>
    <row r="781" spans="22:23">
      <c r="V781" s="4" t="s">
        <v>350</v>
      </c>
      <c r="W781" s="4" t="s">
        <v>1455</v>
      </c>
    </row>
    <row r="782" spans="22:23">
      <c r="V782" s="4" t="s">
        <v>350</v>
      </c>
      <c r="W782" s="4" t="s">
        <v>1456</v>
      </c>
    </row>
    <row r="783" spans="22:23">
      <c r="V783" s="4" t="s">
        <v>350</v>
      </c>
      <c r="W783" s="4" t="s">
        <v>1457</v>
      </c>
    </row>
    <row r="784" spans="22:23">
      <c r="V784" s="4" t="s">
        <v>350</v>
      </c>
      <c r="W784" s="4" t="s">
        <v>1458</v>
      </c>
    </row>
    <row r="785" spans="22:23">
      <c r="V785" s="4" t="s">
        <v>350</v>
      </c>
      <c r="W785" s="4" t="s">
        <v>1459</v>
      </c>
    </row>
    <row r="786" spans="22:23">
      <c r="V786" s="4" t="s">
        <v>350</v>
      </c>
      <c r="W786" s="4" t="s">
        <v>1460</v>
      </c>
    </row>
    <row r="787" spans="22:23">
      <c r="V787" s="4" t="s">
        <v>350</v>
      </c>
      <c r="W787" s="4" t="s">
        <v>1461</v>
      </c>
    </row>
    <row r="788" spans="22:23">
      <c r="V788" s="4" t="s">
        <v>350</v>
      </c>
      <c r="W788" s="4" t="s">
        <v>1462</v>
      </c>
    </row>
    <row r="789" spans="22:23">
      <c r="V789" s="4" t="s">
        <v>350</v>
      </c>
      <c r="W789" s="4" t="s">
        <v>1074</v>
      </c>
    </row>
    <row r="790" spans="22:23">
      <c r="V790" s="4" t="s">
        <v>350</v>
      </c>
      <c r="W790" s="4" t="s">
        <v>1463</v>
      </c>
    </row>
    <row r="791" spans="22:23">
      <c r="V791" s="4" t="s">
        <v>350</v>
      </c>
      <c r="W791" s="4" t="s">
        <v>1464</v>
      </c>
    </row>
    <row r="792" spans="22:23">
      <c r="V792" s="4" t="s">
        <v>350</v>
      </c>
      <c r="W792" s="4" t="s">
        <v>1465</v>
      </c>
    </row>
    <row r="793" spans="22:23">
      <c r="V793" s="4" t="s">
        <v>350</v>
      </c>
      <c r="W793" s="4" t="s">
        <v>1466</v>
      </c>
    </row>
    <row r="794" spans="22:23">
      <c r="V794" s="4" t="s">
        <v>350</v>
      </c>
      <c r="W794" s="4" t="s">
        <v>1467</v>
      </c>
    </row>
    <row r="795" spans="22:23">
      <c r="V795" s="4" t="s">
        <v>354</v>
      </c>
      <c r="W795" s="4" t="s">
        <v>1076</v>
      </c>
    </row>
    <row r="796" spans="22:23">
      <c r="V796" s="4" t="s">
        <v>354</v>
      </c>
      <c r="W796" s="4" t="s">
        <v>1468</v>
      </c>
    </row>
    <row r="797" spans="22:23">
      <c r="V797" s="4" t="s">
        <v>354</v>
      </c>
      <c r="W797" s="4" t="s">
        <v>1469</v>
      </c>
    </row>
    <row r="798" spans="22:23">
      <c r="V798" s="4" t="s">
        <v>354</v>
      </c>
      <c r="W798" s="4" t="s">
        <v>1470</v>
      </c>
    </row>
    <row r="799" spans="22:23">
      <c r="V799" s="4" t="s">
        <v>354</v>
      </c>
      <c r="W799" s="4" t="s">
        <v>1471</v>
      </c>
    </row>
    <row r="800" spans="22:23">
      <c r="V800" s="4" t="s">
        <v>354</v>
      </c>
      <c r="W800" s="4" t="s">
        <v>1472</v>
      </c>
    </row>
    <row r="801" spans="22:23">
      <c r="V801" s="4" t="s">
        <v>354</v>
      </c>
      <c r="W801" s="4" t="s">
        <v>1473</v>
      </c>
    </row>
    <row r="802" spans="22:23">
      <c r="V802" s="4" t="s">
        <v>354</v>
      </c>
      <c r="W802" s="4" t="s">
        <v>1474</v>
      </c>
    </row>
    <row r="803" spans="22:23">
      <c r="V803" s="4" t="s">
        <v>354</v>
      </c>
      <c r="W803" s="4" t="s">
        <v>1475</v>
      </c>
    </row>
    <row r="804" spans="22:23">
      <c r="V804" s="4" t="s">
        <v>354</v>
      </c>
      <c r="W804" s="4" t="s">
        <v>1476</v>
      </c>
    </row>
    <row r="805" spans="22:23">
      <c r="V805" s="4" t="s">
        <v>354</v>
      </c>
      <c r="W805" s="4" t="s">
        <v>724</v>
      </c>
    </row>
    <row r="806" spans="22:23">
      <c r="V806" s="4" t="s">
        <v>354</v>
      </c>
      <c r="W806" s="4" t="s">
        <v>1477</v>
      </c>
    </row>
    <row r="807" spans="22:23">
      <c r="V807" s="4" t="s">
        <v>354</v>
      </c>
      <c r="W807" s="4" t="s">
        <v>1478</v>
      </c>
    </row>
    <row r="808" spans="22:23">
      <c r="V808" s="4" t="s">
        <v>354</v>
      </c>
      <c r="W808" s="4" t="s">
        <v>1479</v>
      </c>
    </row>
    <row r="809" spans="22:23">
      <c r="V809" s="4" t="s">
        <v>354</v>
      </c>
      <c r="W809" s="4" t="s">
        <v>1480</v>
      </c>
    </row>
    <row r="810" spans="22:23">
      <c r="V810" s="4" t="s">
        <v>354</v>
      </c>
      <c r="W810" s="4" t="s">
        <v>1481</v>
      </c>
    </row>
    <row r="811" spans="22:23">
      <c r="V811" s="4" t="s">
        <v>354</v>
      </c>
      <c r="W811" s="4" t="s">
        <v>1482</v>
      </c>
    </row>
    <row r="812" spans="22:23">
      <c r="V812" s="4" t="s">
        <v>359</v>
      </c>
      <c r="W812" s="4" t="s">
        <v>1078</v>
      </c>
    </row>
    <row r="813" spans="22:23">
      <c r="V813" s="4" t="s">
        <v>359</v>
      </c>
      <c r="W813" s="4" t="s">
        <v>1483</v>
      </c>
    </row>
    <row r="814" spans="22:23">
      <c r="V814" s="4" t="s">
        <v>359</v>
      </c>
      <c r="W814" s="4" t="s">
        <v>1484</v>
      </c>
    </row>
    <row r="815" spans="22:23">
      <c r="V815" s="4" t="s">
        <v>359</v>
      </c>
      <c r="W815" s="4" t="s">
        <v>1485</v>
      </c>
    </row>
    <row r="816" spans="22:23">
      <c r="V816" s="4" t="s">
        <v>359</v>
      </c>
      <c r="W816" s="4" t="s">
        <v>1486</v>
      </c>
    </row>
    <row r="817" spans="22:23">
      <c r="V817" s="4" t="s">
        <v>359</v>
      </c>
      <c r="W817" s="4" t="s">
        <v>1487</v>
      </c>
    </row>
    <row r="818" spans="22:23">
      <c r="V818" s="4" t="s">
        <v>359</v>
      </c>
      <c r="W818" s="4" t="s">
        <v>1488</v>
      </c>
    </row>
    <row r="819" spans="22:23">
      <c r="V819" s="4" t="s">
        <v>359</v>
      </c>
      <c r="W819" s="4" t="s">
        <v>1489</v>
      </c>
    </row>
    <row r="820" spans="22:23">
      <c r="V820" s="4" t="s">
        <v>359</v>
      </c>
      <c r="W820" s="4" t="s">
        <v>1490</v>
      </c>
    </row>
    <row r="821" spans="22:23">
      <c r="V821" s="4" t="s">
        <v>359</v>
      </c>
      <c r="W821" s="4" t="s">
        <v>1491</v>
      </c>
    </row>
    <row r="822" spans="22:23">
      <c r="V822" s="4" t="s">
        <v>359</v>
      </c>
      <c r="W822" s="4" t="s">
        <v>1492</v>
      </c>
    </row>
    <row r="823" spans="22:23">
      <c r="V823" s="4" t="s">
        <v>359</v>
      </c>
      <c r="W823" s="4" t="s">
        <v>1493</v>
      </c>
    </row>
    <row r="824" spans="22:23">
      <c r="V824" s="4" t="s">
        <v>359</v>
      </c>
      <c r="W824" s="4" t="s">
        <v>1494</v>
      </c>
    </row>
    <row r="825" spans="22:23">
      <c r="V825" s="4" t="s">
        <v>359</v>
      </c>
      <c r="W825" s="4" t="s">
        <v>1495</v>
      </c>
    </row>
    <row r="826" spans="22:23">
      <c r="V826" s="4" t="s">
        <v>359</v>
      </c>
      <c r="W826" s="4" t="s">
        <v>1496</v>
      </c>
    </row>
    <row r="827" spans="22:23">
      <c r="V827" s="4" t="s">
        <v>359</v>
      </c>
      <c r="W827" s="4" t="s">
        <v>1497</v>
      </c>
    </row>
    <row r="828" spans="22:23">
      <c r="V828" s="4" t="s">
        <v>359</v>
      </c>
      <c r="W828" s="4" t="s">
        <v>844</v>
      </c>
    </row>
    <row r="829" spans="22:23">
      <c r="V829" s="4" t="s">
        <v>359</v>
      </c>
      <c r="W829" s="4" t="s">
        <v>1498</v>
      </c>
    </row>
    <row r="830" spans="22:23">
      <c r="V830" s="4" t="s">
        <v>359</v>
      </c>
      <c r="W830" s="4" t="s">
        <v>1499</v>
      </c>
    </row>
    <row r="831" spans="22:23">
      <c r="V831" s="4" t="s">
        <v>359</v>
      </c>
      <c r="W831" s="4" t="s">
        <v>1500</v>
      </c>
    </row>
    <row r="832" spans="22:23">
      <c r="V832" s="4" t="s">
        <v>359</v>
      </c>
      <c r="W832" s="4" t="s">
        <v>1501</v>
      </c>
    </row>
    <row r="833" spans="22:23">
      <c r="V833" s="4" t="s">
        <v>359</v>
      </c>
      <c r="W833" s="4" t="s">
        <v>1502</v>
      </c>
    </row>
    <row r="834" spans="22:23">
      <c r="V834" s="4" t="s">
        <v>359</v>
      </c>
      <c r="W834" s="4" t="s">
        <v>1503</v>
      </c>
    </row>
    <row r="835" spans="22:23">
      <c r="V835" s="4" t="s">
        <v>359</v>
      </c>
      <c r="W835" s="4" t="s">
        <v>1504</v>
      </c>
    </row>
    <row r="836" spans="22:23">
      <c r="V836" s="4" t="s">
        <v>359</v>
      </c>
      <c r="W836" s="4" t="s">
        <v>1505</v>
      </c>
    </row>
    <row r="837" spans="22:23">
      <c r="V837" s="4" t="s">
        <v>359</v>
      </c>
      <c r="W837" s="4" t="s">
        <v>1506</v>
      </c>
    </row>
    <row r="838" spans="22:23">
      <c r="V838" s="4" t="s">
        <v>359</v>
      </c>
      <c r="W838" s="4" t="s">
        <v>1507</v>
      </c>
    </row>
    <row r="839" spans="22:23">
      <c r="V839" s="4" t="s">
        <v>363</v>
      </c>
      <c r="W839" s="4" t="s">
        <v>1084</v>
      </c>
    </row>
    <row r="840" spans="22:23">
      <c r="V840" s="4" t="s">
        <v>363</v>
      </c>
      <c r="W840" s="4" t="s">
        <v>1086</v>
      </c>
    </row>
    <row r="841" spans="22:23">
      <c r="V841" s="4" t="s">
        <v>363</v>
      </c>
      <c r="W841" s="4" t="s">
        <v>1508</v>
      </c>
    </row>
    <row r="842" spans="22:23">
      <c r="V842" s="4" t="s">
        <v>363</v>
      </c>
      <c r="W842" s="4" t="s">
        <v>1509</v>
      </c>
    </row>
    <row r="843" spans="22:23">
      <c r="V843" s="4" t="s">
        <v>363</v>
      </c>
      <c r="W843" s="4" t="s">
        <v>1510</v>
      </c>
    </row>
    <row r="844" spans="22:23">
      <c r="V844" s="4" t="s">
        <v>363</v>
      </c>
      <c r="W844" s="4" t="s">
        <v>1511</v>
      </c>
    </row>
    <row r="845" spans="22:23">
      <c r="V845" s="4" t="s">
        <v>363</v>
      </c>
      <c r="W845" s="4" t="s">
        <v>1512</v>
      </c>
    </row>
    <row r="846" spans="22:23">
      <c r="V846" s="4" t="s">
        <v>363</v>
      </c>
      <c r="W846" s="4" t="s">
        <v>1513</v>
      </c>
    </row>
    <row r="847" spans="22:23">
      <c r="V847" s="4" t="s">
        <v>363</v>
      </c>
      <c r="W847" s="4" t="s">
        <v>1514</v>
      </c>
    </row>
    <row r="848" spans="22:23">
      <c r="V848" s="4" t="s">
        <v>363</v>
      </c>
      <c r="W848" s="4" t="s">
        <v>1515</v>
      </c>
    </row>
    <row r="849" spans="22:23">
      <c r="V849" s="4" t="s">
        <v>363</v>
      </c>
      <c r="W849" s="4" t="s">
        <v>1516</v>
      </c>
    </row>
    <row r="850" spans="22:23">
      <c r="V850" s="4" t="s">
        <v>363</v>
      </c>
      <c r="W850" s="4" t="s">
        <v>1517</v>
      </c>
    </row>
    <row r="851" spans="22:23">
      <c r="V851" s="4" t="s">
        <v>363</v>
      </c>
      <c r="W851" s="4" t="s">
        <v>1518</v>
      </c>
    </row>
    <row r="852" spans="22:23">
      <c r="V852" s="4" t="s">
        <v>363</v>
      </c>
      <c r="W852" s="4" t="s">
        <v>1519</v>
      </c>
    </row>
    <row r="853" spans="22:23">
      <c r="V853" s="4" t="s">
        <v>363</v>
      </c>
      <c r="W853" s="4" t="s">
        <v>1088</v>
      </c>
    </row>
    <row r="854" spans="22:23">
      <c r="V854" s="4" t="s">
        <v>363</v>
      </c>
      <c r="W854" s="4" t="s">
        <v>1520</v>
      </c>
    </row>
    <row r="855" spans="22:23">
      <c r="V855" s="4" t="s">
        <v>363</v>
      </c>
      <c r="W855" s="4" t="s">
        <v>1521</v>
      </c>
    </row>
    <row r="856" spans="22:23">
      <c r="V856" s="4" t="s">
        <v>363</v>
      </c>
      <c r="W856" s="4" t="s">
        <v>1522</v>
      </c>
    </row>
    <row r="857" spans="22:23">
      <c r="V857" s="4" t="s">
        <v>363</v>
      </c>
      <c r="W857" s="4" t="s">
        <v>1523</v>
      </c>
    </row>
    <row r="858" spans="22:23">
      <c r="V858" s="4" t="s">
        <v>363</v>
      </c>
      <c r="W858" s="4" t="s">
        <v>1524</v>
      </c>
    </row>
    <row r="859" spans="22:23">
      <c r="V859" s="4" t="s">
        <v>363</v>
      </c>
      <c r="W859" s="4" t="s">
        <v>1525</v>
      </c>
    </row>
    <row r="860" spans="22:23">
      <c r="V860" s="4" t="s">
        <v>363</v>
      </c>
      <c r="W860" s="4" t="s">
        <v>1303</v>
      </c>
    </row>
    <row r="861" spans="22:23">
      <c r="V861" s="4" t="s">
        <v>363</v>
      </c>
      <c r="W861" s="4" t="s">
        <v>1526</v>
      </c>
    </row>
    <row r="862" spans="22:23">
      <c r="V862" s="4" t="s">
        <v>363</v>
      </c>
      <c r="W862" s="4" t="s">
        <v>1527</v>
      </c>
    </row>
    <row r="863" spans="22:23">
      <c r="V863" s="4" t="s">
        <v>363</v>
      </c>
      <c r="W863" s="4" t="s">
        <v>1528</v>
      </c>
    </row>
    <row r="864" spans="22:23">
      <c r="V864" s="4" t="s">
        <v>363</v>
      </c>
      <c r="W864" s="4" t="s">
        <v>1529</v>
      </c>
    </row>
    <row r="865" spans="22:23">
      <c r="V865" s="4" t="s">
        <v>363</v>
      </c>
      <c r="W865" s="4" t="s">
        <v>1530</v>
      </c>
    </row>
    <row r="866" spans="22:23">
      <c r="V866" s="4" t="s">
        <v>363</v>
      </c>
      <c r="W866" s="4" t="s">
        <v>1531</v>
      </c>
    </row>
    <row r="867" spans="22:23">
      <c r="V867" s="4" t="s">
        <v>363</v>
      </c>
      <c r="W867" s="4" t="s">
        <v>1532</v>
      </c>
    </row>
    <row r="868" spans="22:23">
      <c r="V868" s="4" t="s">
        <v>363</v>
      </c>
      <c r="W868" s="4" t="s">
        <v>1533</v>
      </c>
    </row>
    <row r="869" spans="22:23">
      <c r="V869" s="4" t="s">
        <v>363</v>
      </c>
      <c r="W869" s="4" t="s">
        <v>1534</v>
      </c>
    </row>
    <row r="870" spans="22:23">
      <c r="V870" s="4" t="s">
        <v>363</v>
      </c>
      <c r="W870" s="4" t="s">
        <v>1535</v>
      </c>
    </row>
    <row r="871" spans="22:23">
      <c r="V871" s="4" t="s">
        <v>363</v>
      </c>
      <c r="W871" s="4" t="s">
        <v>1536</v>
      </c>
    </row>
    <row r="872" spans="22:23">
      <c r="V872" s="4" t="s">
        <v>363</v>
      </c>
      <c r="W872" s="4" t="s">
        <v>1537</v>
      </c>
    </row>
    <row r="873" spans="22:23">
      <c r="V873" s="4" t="s">
        <v>363</v>
      </c>
      <c r="W873" s="4" t="s">
        <v>1538</v>
      </c>
    </row>
    <row r="874" spans="22:23">
      <c r="V874" s="4" t="s">
        <v>363</v>
      </c>
      <c r="W874" s="4" t="s">
        <v>1539</v>
      </c>
    </row>
    <row r="875" spans="22:23">
      <c r="V875" s="4" t="s">
        <v>363</v>
      </c>
      <c r="W875" s="4" t="s">
        <v>1540</v>
      </c>
    </row>
    <row r="876" spans="22:23">
      <c r="V876" s="4" t="s">
        <v>363</v>
      </c>
      <c r="W876" s="4" t="s">
        <v>1541</v>
      </c>
    </row>
    <row r="877" spans="22:23">
      <c r="V877" s="4" t="s">
        <v>363</v>
      </c>
      <c r="W877" s="4" t="s">
        <v>1542</v>
      </c>
    </row>
    <row r="878" spans="22:23">
      <c r="V878" s="4" t="s">
        <v>363</v>
      </c>
      <c r="W878" s="4" t="s">
        <v>1543</v>
      </c>
    </row>
    <row r="879" spans="22:23">
      <c r="V879" s="4" t="s">
        <v>363</v>
      </c>
      <c r="W879" s="4" t="s">
        <v>1544</v>
      </c>
    </row>
    <row r="880" spans="22:23">
      <c r="V880" s="4" t="s">
        <v>363</v>
      </c>
      <c r="W880" s="4" t="s">
        <v>1545</v>
      </c>
    </row>
    <row r="881" spans="22:23">
      <c r="V881" s="4" t="s">
        <v>363</v>
      </c>
      <c r="W881" s="4" t="s">
        <v>1546</v>
      </c>
    </row>
    <row r="882" spans="22:23">
      <c r="V882" s="4" t="s">
        <v>363</v>
      </c>
      <c r="W882" s="4" t="s">
        <v>1547</v>
      </c>
    </row>
    <row r="883" spans="22:23">
      <c r="V883" s="4" t="s">
        <v>363</v>
      </c>
      <c r="W883" s="4" t="s">
        <v>1548</v>
      </c>
    </row>
    <row r="884" spans="22:23">
      <c r="V884" s="4" t="s">
        <v>363</v>
      </c>
      <c r="W884" s="4" t="s">
        <v>1549</v>
      </c>
    </row>
    <row r="885" spans="22:23">
      <c r="V885" s="4" t="s">
        <v>363</v>
      </c>
      <c r="W885" s="4" t="s">
        <v>1550</v>
      </c>
    </row>
    <row r="886" spans="22:23">
      <c r="V886" s="4" t="s">
        <v>363</v>
      </c>
      <c r="W886" s="4" t="s">
        <v>1551</v>
      </c>
    </row>
    <row r="887" spans="22:23">
      <c r="V887" s="4" t="s">
        <v>363</v>
      </c>
      <c r="W887" s="4" t="s">
        <v>1552</v>
      </c>
    </row>
    <row r="888" spans="22:23">
      <c r="V888" s="4" t="s">
        <v>363</v>
      </c>
      <c r="W888" s="4" t="s">
        <v>1553</v>
      </c>
    </row>
    <row r="889" spans="22:23">
      <c r="V889" s="4" t="s">
        <v>363</v>
      </c>
      <c r="W889" s="4" t="s">
        <v>1554</v>
      </c>
    </row>
    <row r="890" spans="22:23">
      <c r="V890" s="4" t="s">
        <v>363</v>
      </c>
      <c r="W890" s="4" t="s">
        <v>1555</v>
      </c>
    </row>
    <row r="891" spans="22:23">
      <c r="V891" s="4" t="s">
        <v>363</v>
      </c>
      <c r="W891" s="4" t="s">
        <v>1556</v>
      </c>
    </row>
    <row r="892" spans="22:23">
      <c r="V892" s="4" t="s">
        <v>363</v>
      </c>
      <c r="W892" s="4" t="s">
        <v>1557</v>
      </c>
    </row>
    <row r="893" spans="22:23">
      <c r="V893" s="4" t="s">
        <v>363</v>
      </c>
      <c r="W893" s="4" t="s">
        <v>1558</v>
      </c>
    </row>
    <row r="894" spans="22:23">
      <c r="V894" s="4" t="s">
        <v>363</v>
      </c>
      <c r="W894" s="4" t="s">
        <v>1559</v>
      </c>
    </row>
    <row r="895" spans="22:23">
      <c r="V895" s="4" t="s">
        <v>363</v>
      </c>
      <c r="W895" s="4" t="s">
        <v>1560</v>
      </c>
    </row>
    <row r="896" spans="22:23">
      <c r="V896" s="4" t="s">
        <v>363</v>
      </c>
      <c r="W896" s="4" t="s">
        <v>1561</v>
      </c>
    </row>
    <row r="897" spans="22:23">
      <c r="V897" s="4" t="s">
        <v>363</v>
      </c>
      <c r="W897" s="4" t="s">
        <v>1562</v>
      </c>
    </row>
    <row r="898" spans="22:23">
      <c r="V898" s="4" t="s">
        <v>363</v>
      </c>
      <c r="W898" s="4" t="s">
        <v>1563</v>
      </c>
    </row>
    <row r="899" spans="22:23">
      <c r="V899" s="4" t="s">
        <v>363</v>
      </c>
      <c r="W899" s="4" t="s">
        <v>1564</v>
      </c>
    </row>
    <row r="900" spans="22:23">
      <c r="V900" s="4" t="s">
        <v>363</v>
      </c>
      <c r="W900" s="4" t="s">
        <v>1565</v>
      </c>
    </row>
    <row r="901" spans="22:23">
      <c r="V901" s="4" t="s">
        <v>363</v>
      </c>
      <c r="W901" s="4" t="s">
        <v>1566</v>
      </c>
    </row>
    <row r="902" spans="22:23">
      <c r="V902" s="4" t="s">
        <v>363</v>
      </c>
      <c r="W902" s="4" t="s">
        <v>724</v>
      </c>
    </row>
    <row r="903" spans="22:23">
      <c r="V903" s="4" t="s">
        <v>363</v>
      </c>
      <c r="W903" s="4" t="s">
        <v>1567</v>
      </c>
    </row>
    <row r="904" spans="22:23">
      <c r="V904" s="4" t="s">
        <v>363</v>
      </c>
      <c r="W904" s="4" t="s">
        <v>1568</v>
      </c>
    </row>
    <row r="905" spans="22:23">
      <c r="V905" s="4" t="s">
        <v>363</v>
      </c>
      <c r="W905" s="4" t="s">
        <v>1569</v>
      </c>
    </row>
    <row r="906" spans="22:23">
      <c r="V906" s="4" t="s">
        <v>363</v>
      </c>
      <c r="W906" s="4" t="s">
        <v>1570</v>
      </c>
    </row>
    <row r="907" spans="22:23">
      <c r="V907" s="4" t="s">
        <v>363</v>
      </c>
      <c r="W907" s="4" t="s">
        <v>1571</v>
      </c>
    </row>
    <row r="908" spans="22:23">
      <c r="V908" s="4" t="s">
        <v>363</v>
      </c>
      <c r="W908" s="4" t="s">
        <v>1309</v>
      </c>
    </row>
    <row r="909" spans="22:23">
      <c r="V909" s="4" t="s">
        <v>363</v>
      </c>
      <c r="W909" s="4" t="s">
        <v>1572</v>
      </c>
    </row>
    <row r="910" spans="22:23">
      <c r="V910" s="4" t="s">
        <v>363</v>
      </c>
      <c r="W910" s="4" t="s">
        <v>1573</v>
      </c>
    </row>
    <row r="911" spans="22:23">
      <c r="V911" s="4" t="s">
        <v>363</v>
      </c>
      <c r="W911" s="4" t="s">
        <v>1574</v>
      </c>
    </row>
    <row r="912" spans="22:23">
      <c r="V912" s="4" t="s">
        <v>363</v>
      </c>
      <c r="W912" s="4" t="s">
        <v>1575</v>
      </c>
    </row>
    <row r="913" spans="22:23">
      <c r="V913" s="4" t="s">
        <v>363</v>
      </c>
      <c r="W913" s="4" t="s">
        <v>1576</v>
      </c>
    </row>
    <row r="914" spans="22:23">
      <c r="V914" s="4" t="s">
        <v>363</v>
      </c>
      <c r="W914" s="4" t="s">
        <v>1577</v>
      </c>
    </row>
    <row r="915" spans="22:23">
      <c r="V915" s="4" t="s">
        <v>363</v>
      </c>
      <c r="W915" s="4" t="s">
        <v>1578</v>
      </c>
    </row>
    <row r="916" spans="22:23">
      <c r="V916" s="4" t="s">
        <v>368</v>
      </c>
      <c r="W916" s="4" t="s">
        <v>799</v>
      </c>
    </row>
    <row r="917" spans="22:23">
      <c r="V917" s="4" t="s">
        <v>368</v>
      </c>
      <c r="W917" s="4" t="s">
        <v>1090</v>
      </c>
    </row>
    <row r="918" spans="22:23">
      <c r="V918" s="4" t="s">
        <v>368</v>
      </c>
      <c r="W918" s="4" t="s">
        <v>1579</v>
      </c>
    </row>
    <row r="919" spans="22:23">
      <c r="V919" s="4" t="s">
        <v>368</v>
      </c>
      <c r="W919" s="4" t="s">
        <v>1092</v>
      </c>
    </row>
    <row r="920" spans="22:23">
      <c r="V920" s="4" t="s">
        <v>368</v>
      </c>
      <c r="W920" s="4" t="s">
        <v>1580</v>
      </c>
    </row>
    <row r="921" spans="22:23">
      <c r="V921" s="4" t="s">
        <v>368</v>
      </c>
      <c r="W921" s="4" t="s">
        <v>1581</v>
      </c>
    </row>
    <row r="922" spans="22:23">
      <c r="V922" s="4" t="s">
        <v>368</v>
      </c>
      <c r="W922" s="4" t="s">
        <v>1582</v>
      </c>
    </row>
    <row r="923" spans="22:23">
      <c r="V923" s="4" t="s">
        <v>368</v>
      </c>
      <c r="W923" s="4" t="s">
        <v>1583</v>
      </c>
    </row>
    <row r="924" spans="22:23">
      <c r="V924" s="4" t="s">
        <v>368</v>
      </c>
      <c r="W924" s="4" t="s">
        <v>1584</v>
      </c>
    </row>
    <row r="925" spans="22:23">
      <c r="V925" s="4" t="s">
        <v>368</v>
      </c>
      <c r="W925" s="4" t="s">
        <v>1585</v>
      </c>
    </row>
    <row r="926" spans="22:23">
      <c r="V926" s="4" t="s">
        <v>368</v>
      </c>
      <c r="W926" s="4" t="s">
        <v>1586</v>
      </c>
    </row>
    <row r="927" spans="22:23">
      <c r="V927" s="4" t="s">
        <v>368</v>
      </c>
      <c r="W927" s="4" t="s">
        <v>1587</v>
      </c>
    </row>
    <row r="928" spans="22:23">
      <c r="V928" s="4" t="s">
        <v>368</v>
      </c>
      <c r="W928" s="4" t="s">
        <v>1096</v>
      </c>
    </row>
    <row r="929" spans="22:23">
      <c r="V929" s="4" t="s">
        <v>368</v>
      </c>
      <c r="W929" s="4" t="s">
        <v>1098</v>
      </c>
    </row>
    <row r="930" spans="22:23">
      <c r="V930" s="4" t="s">
        <v>368</v>
      </c>
      <c r="W930" s="4" t="s">
        <v>1588</v>
      </c>
    </row>
    <row r="931" spans="22:23">
      <c r="V931" s="4" t="s">
        <v>368</v>
      </c>
      <c r="W931" s="4" t="s">
        <v>1589</v>
      </c>
    </row>
    <row r="932" spans="22:23">
      <c r="V932" s="4" t="s">
        <v>368</v>
      </c>
      <c r="W932" s="4" t="s">
        <v>1590</v>
      </c>
    </row>
    <row r="933" spans="22:23">
      <c r="V933" s="4" t="s">
        <v>368</v>
      </c>
      <c r="W933" s="4" t="s">
        <v>1591</v>
      </c>
    </row>
    <row r="934" spans="22:23">
      <c r="V934" s="4" t="s">
        <v>368</v>
      </c>
      <c r="W934" s="4" t="s">
        <v>1592</v>
      </c>
    </row>
    <row r="935" spans="22:23">
      <c r="V935" s="4" t="s">
        <v>368</v>
      </c>
      <c r="W935" s="4" t="s">
        <v>1593</v>
      </c>
    </row>
    <row r="936" spans="22:23">
      <c r="V936" s="4" t="s">
        <v>368</v>
      </c>
      <c r="W936" s="4" t="s">
        <v>1594</v>
      </c>
    </row>
    <row r="937" spans="22:23">
      <c r="V937" s="4" t="s">
        <v>368</v>
      </c>
      <c r="W937" s="4" t="s">
        <v>1595</v>
      </c>
    </row>
    <row r="938" spans="22:23">
      <c r="V938" s="4" t="s">
        <v>368</v>
      </c>
      <c r="W938" s="4" t="s">
        <v>1596</v>
      </c>
    </row>
    <row r="939" spans="22:23">
      <c r="V939" s="4" t="s">
        <v>368</v>
      </c>
      <c r="W939" s="4" t="s">
        <v>1597</v>
      </c>
    </row>
    <row r="940" spans="22:23">
      <c r="V940" s="4" t="s">
        <v>368</v>
      </c>
      <c r="W940" s="4" t="s">
        <v>1598</v>
      </c>
    </row>
    <row r="941" spans="22:23">
      <c r="V941" s="4" t="s">
        <v>368</v>
      </c>
      <c r="W941" s="4" t="s">
        <v>1599</v>
      </c>
    </row>
    <row r="942" spans="22:23">
      <c r="V942" s="4" t="s">
        <v>368</v>
      </c>
      <c r="W942" s="4" t="s">
        <v>1600</v>
      </c>
    </row>
    <row r="943" spans="22:23">
      <c r="V943" s="4" t="s">
        <v>368</v>
      </c>
      <c r="W943" s="4" t="s">
        <v>1601</v>
      </c>
    </row>
    <row r="944" spans="22:23">
      <c r="V944" s="4" t="s">
        <v>368</v>
      </c>
      <c r="W944" s="4" t="s">
        <v>1602</v>
      </c>
    </row>
    <row r="945" spans="22:23">
      <c r="V945" s="4" t="s">
        <v>368</v>
      </c>
      <c r="W945" s="4" t="s">
        <v>1603</v>
      </c>
    </row>
    <row r="946" spans="22:23">
      <c r="V946" s="4" t="s">
        <v>368</v>
      </c>
      <c r="W946" s="4" t="s">
        <v>1604</v>
      </c>
    </row>
    <row r="947" spans="22:23">
      <c r="V947" s="4" t="s">
        <v>368</v>
      </c>
      <c r="W947" s="4" t="s">
        <v>724</v>
      </c>
    </row>
    <row r="948" spans="22:23">
      <c r="V948" s="4" t="s">
        <v>368</v>
      </c>
      <c r="W948" s="4" t="s">
        <v>1605</v>
      </c>
    </row>
    <row r="949" spans="22:23">
      <c r="V949" s="4" t="s">
        <v>368</v>
      </c>
      <c r="W949" s="4" t="s">
        <v>1606</v>
      </c>
    </row>
    <row r="950" spans="22:23">
      <c r="V950" s="4" t="s">
        <v>368</v>
      </c>
      <c r="W950" s="4" t="s">
        <v>1607</v>
      </c>
    </row>
    <row r="951" spans="22:23">
      <c r="V951" s="4" t="s">
        <v>368</v>
      </c>
      <c r="W951" s="4" t="s">
        <v>1608</v>
      </c>
    </row>
    <row r="952" spans="22:23">
      <c r="V952" s="4" t="s">
        <v>368</v>
      </c>
      <c r="W952" s="4" t="s">
        <v>1609</v>
      </c>
    </row>
    <row r="953" spans="22:23">
      <c r="V953" s="4" t="s">
        <v>368</v>
      </c>
      <c r="W953" s="4" t="s">
        <v>1610</v>
      </c>
    </row>
    <row r="954" spans="22:23">
      <c r="V954" s="4" t="s">
        <v>368</v>
      </c>
      <c r="W954" s="4" t="s">
        <v>1611</v>
      </c>
    </row>
    <row r="955" spans="22:23">
      <c r="V955" s="4" t="s">
        <v>368</v>
      </c>
      <c r="W955" s="4" t="s">
        <v>1612</v>
      </c>
    </row>
    <row r="956" spans="22:23">
      <c r="V956" s="4" t="s">
        <v>368</v>
      </c>
      <c r="W956" s="4" t="s">
        <v>1613</v>
      </c>
    </row>
    <row r="957" spans="22:23">
      <c r="V957" s="4" t="s">
        <v>368</v>
      </c>
      <c r="W957" s="4" t="s">
        <v>1614</v>
      </c>
    </row>
    <row r="958" spans="22:23">
      <c r="V958" s="4" t="s">
        <v>372</v>
      </c>
      <c r="W958" s="4" t="s">
        <v>801</v>
      </c>
    </row>
    <row r="959" spans="22:23">
      <c r="V959" s="4" t="s">
        <v>372</v>
      </c>
      <c r="W959" s="4" t="s">
        <v>1100</v>
      </c>
    </row>
    <row r="960" spans="22:23">
      <c r="V960" s="4" t="s">
        <v>372</v>
      </c>
      <c r="W960" s="4" t="s">
        <v>1102</v>
      </c>
    </row>
    <row r="961" spans="22:23">
      <c r="V961" s="4" t="s">
        <v>372</v>
      </c>
      <c r="W961" s="4" t="s">
        <v>1615</v>
      </c>
    </row>
    <row r="962" spans="22:23">
      <c r="V962" s="4" t="s">
        <v>372</v>
      </c>
      <c r="W962" s="4" t="s">
        <v>1104</v>
      </c>
    </row>
    <row r="963" spans="22:23">
      <c r="V963" s="4" t="s">
        <v>372</v>
      </c>
      <c r="W963" s="4" t="s">
        <v>1106</v>
      </c>
    </row>
    <row r="964" spans="22:23">
      <c r="V964" s="4" t="s">
        <v>372</v>
      </c>
      <c r="W964" s="4" t="s">
        <v>1616</v>
      </c>
    </row>
    <row r="965" spans="22:23">
      <c r="V965" s="4" t="s">
        <v>372</v>
      </c>
      <c r="W965" s="4" t="s">
        <v>1108</v>
      </c>
    </row>
    <row r="966" spans="22:23">
      <c r="V966" s="4" t="s">
        <v>372</v>
      </c>
      <c r="W966" s="4" t="s">
        <v>1110</v>
      </c>
    </row>
    <row r="967" spans="22:23">
      <c r="V967" s="4" t="s">
        <v>372</v>
      </c>
      <c r="W967" s="4" t="s">
        <v>1112</v>
      </c>
    </row>
    <row r="968" spans="22:23">
      <c r="V968" s="4" t="s">
        <v>372</v>
      </c>
      <c r="W968" s="4" t="s">
        <v>1114</v>
      </c>
    </row>
    <row r="969" spans="22:23">
      <c r="V969" s="4" t="s">
        <v>372</v>
      </c>
      <c r="W969" s="4" t="s">
        <v>1116</v>
      </c>
    </row>
    <row r="970" spans="22:23">
      <c r="V970" s="4" t="s">
        <v>372</v>
      </c>
      <c r="W970" s="4" t="s">
        <v>1118</v>
      </c>
    </row>
    <row r="971" spans="22:23">
      <c r="V971" s="4" t="s">
        <v>372</v>
      </c>
      <c r="W971" s="4" t="s">
        <v>1120</v>
      </c>
    </row>
    <row r="972" spans="22:23">
      <c r="V972" s="4" t="s">
        <v>372</v>
      </c>
      <c r="W972" s="4" t="s">
        <v>1122</v>
      </c>
    </row>
    <row r="973" spans="22:23">
      <c r="V973" s="4" t="s">
        <v>372</v>
      </c>
      <c r="W973" s="4" t="s">
        <v>1617</v>
      </c>
    </row>
    <row r="974" spans="22:23">
      <c r="V974" s="4" t="s">
        <v>372</v>
      </c>
      <c r="W974" s="4" t="s">
        <v>1124</v>
      </c>
    </row>
    <row r="975" spans="22:23">
      <c r="V975" s="4" t="s">
        <v>372</v>
      </c>
      <c r="W975" s="4" t="s">
        <v>1618</v>
      </c>
    </row>
    <row r="976" spans="22:23">
      <c r="V976" s="4" t="s">
        <v>372</v>
      </c>
      <c r="W976" s="4" t="s">
        <v>1619</v>
      </c>
    </row>
    <row r="977" spans="22:23">
      <c r="V977" s="4" t="s">
        <v>372</v>
      </c>
      <c r="W977" s="4" t="s">
        <v>1620</v>
      </c>
    </row>
    <row r="978" spans="22:23">
      <c r="V978" s="4" t="s">
        <v>372</v>
      </c>
      <c r="W978" s="4" t="s">
        <v>1621</v>
      </c>
    </row>
    <row r="979" spans="22:23">
      <c r="V979" s="4" t="s">
        <v>372</v>
      </c>
      <c r="W979" s="4" t="s">
        <v>1622</v>
      </c>
    </row>
    <row r="980" spans="22:23">
      <c r="V980" s="4" t="s">
        <v>372</v>
      </c>
      <c r="W980" s="4" t="s">
        <v>1623</v>
      </c>
    </row>
    <row r="981" spans="22:23">
      <c r="V981" s="4" t="s">
        <v>372</v>
      </c>
      <c r="W981" s="4" t="s">
        <v>1624</v>
      </c>
    </row>
    <row r="982" spans="22:23">
      <c r="V982" s="4" t="s">
        <v>372</v>
      </c>
      <c r="W982" s="4" t="s">
        <v>1625</v>
      </c>
    </row>
    <row r="983" spans="22:23">
      <c r="V983" s="4" t="s">
        <v>372</v>
      </c>
      <c r="W983" s="4" t="s">
        <v>1626</v>
      </c>
    </row>
    <row r="984" spans="22:23">
      <c r="V984" s="4" t="s">
        <v>372</v>
      </c>
      <c r="W984" s="4" t="s">
        <v>1627</v>
      </c>
    </row>
    <row r="985" spans="22:23">
      <c r="V985" s="4" t="s">
        <v>372</v>
      </c>
      <c r="W985" s="4" t="s">
        <v>1628</v>
      </c>
    </row>
    <row r="986" spans="22:23">
      <c r="V986" s="4" t="s">
        <v>372</v>
      </c>
      <c r="W986" s="4" t="s">
        <v>1126</v>
      </c>
    </row>
    <row r="987" spans="22:23">
      <c r="V987" s="4" t="s">
        <v>372</v>
      </c>
      <c r="W987" s="4" t="s">
        <v>710</v>
      </c>
    </row>
    <row r="988" spans="22:23">
      <c r="V988" s="4" t="s">
        <v>372</v>
      </c>
      <c r="W988" s="4" t="s">
        <v>1129</v>
      </c>
    </row>
    <row r="989" spans="22:23">
      <c r="V989" s="4" t="s">
        <v>372</v>
      </c>
      <c r="W989" s="4" t="s">
        <v>1131</v>
      </c>
    </row>
    <row r="990" spans="22:23">
      <c r="V990" s="4" t="s">
        <v>372</v>
      </c>
      <c r="W990" s="4" t="s">
        <v>1629</v>
      </c>
    </row>
    <row r="991" spans="22:23">
      <c r="V991" s="4" t="s">
        <v>372</v>
      </c>
      <c r="W991" s="4" t="s">
        <v>1133</v>
      </c>
    </row>
    <row r="992" spans="22:23">
      <c r="V992" s="4" t="s">
        <v>372</v>
      </c>
      <c r="W992" s="4" t="s">
        <v>468</v>
      </c>
    </row>
    <row r="993" spans="22:23">
      <c r="V993" s="4" t="s">
        <v>376</v>
      </c>
      <c r="W993" s="4" t="s">
        <v>494</v>
      </c>
    </row>
    <row r="994" spans="22:23">
      <c r="V994" s="4" t="s">
        <v>376</v>
      </c>
      <c r="W994" s="4" t="s">
        <v>1137</v>
      </c>
    </row>
    <row r="995" spans="22:23">
      <c r="V995" s="4" t="s">
        <v>376</v>
      </c>
      <c r="W995" s="4" t="s">
        <v>803</v>
      </c>
    </row>
    <row r="996" spans="22:23">
      <c r="V996" s="4" t="s">
        <v>376</v>
      </c>
      <c r="W996" s="4" t="s">
        <v>805</v>
      </c>
    </row>
    <row r="997" spans="22:23">
      <c r="V997" s="4" t="s">
        <v>376</v>
      </c>
      <c r="W997" s="4" t="s">
        <v>1630</v>
      </c>
    </row>
    <row r="998" spans="22:23">
      <c r="V998" s="4" t="s">
        <v>376</v>
      </c>
      <c r="W998" s="4" t="s">
        <v>1139</v>
      </c>
    </row>
    <row r="999" spans="22:23">
      <c r="V999" s="4" t="s">
        <v>376</v>
      </c>
      <c r="W999" s="4" t="s">
        <v>809</v>
      </c>
    </row>
    <row r="1000" spans="22:23">
      <c r="V1000" s="4" t="s">
        <v>376</v>
      </c>
      <c r="W1000" s="4" t="s">
        <v>1141</v>
      </c>
    </row>
    <row r="1001" spans="22:23">
      <c r="V1001" s="4" t="s">
        <v>376</v>
      </c>
      <c r="W1001" s="4" t="s">
        <v>811</v>
      </c>
    </row>
    <row r="1002" spans="22:23">
      <c r="V1002" s="4" t="s">
        <v>376</v>
      </c>
      <c r="W1002" s="4" t="s">
        <v>813</v>
      </c>
    </row>
    <row r="1003" spans="22:23">
      <c r="V1003" s="4" t="s">
        <v>376</v>
      </c>
      <c r="W1003" s="4" t="s">
        <v>497</v>
      </c>
    </row>
    <row r="1004" spans="22:23">
      <c r="V1004" s="4" t="s">
        <v>376</v>
      </c>
      <c r="W1004" s="4" t="s">
        <v>499</v>
      </c>
    </row>
    <row r="1005" spans="22:23">
      <c r="V1005" s="4" t="s">
        <v>376</v>
      </c>
      <c r="W1005" s="4" t="s">
        <v>815</v>
      </c>
    </row>
    <row r="1006" spans="22:23">
      <c r="V1006" s="4" t="s">
        <v>376</v>
      </c>
      <c r="W1006" s="4" t="s">
        <v>817</v>
      </c>
    </row>
    <row r="1007" spans="22:23">
      <c r="V1007" s="4" t="s">
        <v>376</v>
      </c>
      <c r="W1007" s="4" t="s">
        <v>1143</v>
      </c>
    </row>
    <row r="1008" spans="22:23">
      <c r="V1008" s="4" t="s">
        <v>376</v>
      </c>
      <c r="W1008" s="4" t="s">
        <v>819</v>
      </c>
    </row>
    <row r="1009" spans="22:23">
      <c r="V1009" s="4" t="s">
        <v>376</v>
      </c>
      <c r="W1009" s="4" t="s">
        <v>1145</v>
      </c>
    </row>
    <row r="1010" spans="22:23">
      <c r="V1010" s="4" t="s">
        <v>376</v>
      </c>
      <c r="W1010" s="4" t="s">
        <v>821</v>
      </c>
    </row>
    <row r="1011" spans="22:23">
      <c r="V1011" s="4" t="s">
        <v>376</v>
      </c>
      <c r="W1011" s="4" t="s">
        <v>1147</v>
      </c>
    </row>
    <row r="1012" spans="22:23">
      <c r="V1012" s="4" t="s">
        <v>376</v>
      </c>
      <c r="W1012" s="4" t="s">
        <v>823</v>
      </c>
    </row>
    <row r="1013" spans="22:23">
      <c r="V1013" s="4" t="s">
        <v>376</v>
      </c>
      <c r="W1013" s="4" t="s">
        <v>1149</v>
      </c>
    </row>
    <row r="1014" spans="22:23">
      <c r="V1014" s="4" t="s">
        <v>376</v>
      </c>
      <c r="W1014" s="4" t="s">
        <v>1151</v>
      </c>
    </row>
    <row r="1015" spans="22:23">
      <c r="V1015" s="4" t="s">
        <v>376</v>
      </c>
      <c r="W1015" s="4" t="s">
        <v>1153</v>
      </c>
    </row>
    <row r="1016" spans="22:23">
      <c r="V1016" s="4" t="s">
        <v>376</v>
      </c>
      <c r="W1016" s="4" t="s">
        <v>1155</v>
      </c>
    </row>
    <row r="1017" spans="22:23">
      <c r="V1017" s="4" t="s">
        <v>376</v>
      </c>
      <c r="W1017" s="4" t="s">
        <v>634</v>
      </c>
    </row>
    <row r="1018" spans="22:23">
      <c r="V1018" s="4" t="s">
        <v>376</v>
      </c>
      <c r="W1018" s="4" t="s">
        <v>825</v>
      </c>
    </row>
    <row r="1019" spans="22:23">
      <c r="V1019" s="4" t="s">
        <v>376</v>
      </c>
      <c r="W1019" s="4" t="s">
        <v>1157</v>
      </c>
    </row>
    <row r="1020" spans="22:23">
      <c r="V1020" s="4" t="s">
        <v>376</v>
      </c>
      <c r="W1020" s="4" t="s">
        <v>827</v>
      </c>
    </row>
    <row r="1021" spans="22:23">
      <c r="V1021" s="4" t="s">
        <v>376</v>
      </c>
      <c r="W1021" s="4" t="s">
        <v>636</v>
      </c>
    </row>
    <row r="1022" spans="22:23">
      <c r="V1022" s="4" t="s">
        <v>376</v>
      </c>
      <c r="W1022" s="4" t="s">
        <v>829</v>
      </c>
    </row>
    <row r="1023" spans="22:23">
      <c r="V1023" s="4" t="s">
        <v>376</v>
      </c>
      <c r="W1023" s="4" t="s">
        <v>1159</v>
      </c>
    </row>
    <row r="1024" spans="22:23">
      <c r="V1024" s="4" t="s">
        <v>376</v>
      </c>
      <c r="W1024" s="4" t="s">
        <v>831</v>
      </c>
    </row>
    <row r="1025" spans="22:23">
      <c r="V1025" s="4" t="s">
        <v>376</v>
      </c>
      <c r="W1025" s="4" t="s">
        <v>1631</v>
      </c>
    </row>
    <row r="1026" spans="22:23">
      <c r="V1026" s="4" t="s">
        <v>376</v>
      </c>
      <c r="W1026" s="4" t="s">
        <v>835</v>
      </c>
    </row>
    <row r="1027" spans="22:23">
      <c r="V1027" s="4" t="s">
        <v>376</v>
      </c>
      <c r="W1027" s="4" t="s">
        <v>837</v>
      </c>
    </row>
    <row r="1028" spans="22:23">
      <c r="V1028" s="4" t="s">
        <v>376</v>
      </c>
      <c r="W1028" s="4" t="s">
        <v>1632</v>
      </c>
    </row>
    <row r="1029" spans="22:23">
      <c r="V1029" s="4" t="s">
        <v>376</v>
      </c>
      <c r="W1029" s="4" t="s">
        <v>839</v>
      </c>
    </row>
    <row r="1030" spans="22:23">
      <c r="V1030" s="4" t="s">
        <v>376</v>
      </c>
      <c r="W1030" s="4" t="s">
        <v>841</v>
      </c>
    </row>
    <row r="1031" spans="22:23">
      <c r="V1031" s="4" t="s">
        <v>376</v>
      </c>
      <c r="W1031" s="4" t="s">
        <v>843</v>
      </c>
    </row>
    <row r="1032" spans="22:23">
      <c r="V1032" s="4" t="s">
        <v>376</v>
      </c>
      <c r="W1032" s="4" t="s">
        <v>1633</v>
      </c>
    </row>
    <row r="1033" spans="22:23">
      <c r="V1033" s="4" t="s">
        <v>376</v>
      </c>
      <c r="W1033" s="4" t="s">
        <v>1161</v>
      </c>
    </row>
    <row r="1034" spans="22:23">
      <c r="V1034" s="4" t="s">
        <v>376</v>
      </c>
      <c r="W1034" s="4" t="s">
        <v>1163</v>
      </c>
    </row>
    <row r="1035" spans="22:23">
      <c r="V1035" s="4" t="s">
        <v>376</v>
      </c>
      <c r="W1035" s="4" t="s">
        <v>845</v>
      </c>
    </row>
    <row r="1036" spans="22:23">
      <c r="V1036" s="4" t="s">
        <v>376</v>
      </c>
      <c r="W1036" s="4" t="s">
        <v>847</v>
      </c>
    </row>
    <row r="1037" spans="22:23">
      <c r="V1037" s="4" t="s">
        <v>376</v>
      </c>
      <c r="W1037" s="4" t="s">
        <v>1634</v>
      </c>
    </row>
    <row r="1038" spans="22:23">
      <c r="V1038" s="4" t="s">
        <v>376</v>
      </c>
      <c r="W1038" s="4" t="s">
        <v>1165</v>
      </c>
    </row>
    <row r="1039" spans="22:23">
      <c r="V1039" s="4" t="s">
        <v>376</v>
      </c>
      <c r="W1039" s="4" t="s">
        <v>1166</v>
      </c>
    </row>
    <row r="1040" spans="22:23">
      <c r="V1040" s="4" t="s">
        <v>376</v>
      </c>
      <c r="W1040" s="4" t="s">
        <v>1635</v>
      </c>
    </row>
    <row r="1041" spans="22:23">
      <c r="V1041" s="4" t="s">
        <v>376</v>
      </c>
      <c r="W1041" s="4" t="s">
        <v>1479</v>
      </c>
    </row>
    <row r="1042" spans="22:23">
      <c r="V1042" s="4" t="s">
        <v>376</v>
      </c>
      <c r="W1042" s="4" t="s">
        <v>1636</v>
      </c>
    </row>
    <row r="1043" spans="22:23">
      <c r="V1043" s="4" t="s">
        <v>376</v>
      </c>
      <c r="W1043" s="4" t="s">
        <v>1170</v>
      </c>
    </row>
    <row r="1044" spans="22:23">
      <c r="V1044" s="4" t="s">
        <v>376</v>
      </c>
      <c r="W1044" s="4" t="s">
        <v>1172</v>
      </c>
    </row>
    <row r="1045" spans="22:23">
      <c r="V1045" s="4" t="s">
        <v>376</v>
      </c>
      <c r="W1045" s="4" t="s">
        <v>1174</v>
      </c>
    </row>
    <row r="1046" spans="22:23">
      <c r="V1046" s="4" t="s">
        <v>376</v>
      </c>
      <c r="W1046" s="4" t="s">
        <v>1176</v>
      </c>
    </row>
    <row r="1047" spans="22:23">
      <c r="V1047" s="4" t="s">
        <v>380</v>
      </c>
      <c r="W1047" s="4" t="s">
        <v>853</v>
      </c>
    </row>
    <row r="1048" spans="22:23">
      <c r="V1048" s="4" t="s">
        <v>380</v>
      </c>
      <c r="W1048" s="4" t="s">
        <v>855</v>
      </c>
    </row>
    <row r="1049" spans="22:23">
      <c r="V1049" s="4" t="s">
        <v>380</v>
      </c>
      <c r="W1049" s="4" t="s">
        <v>1637</v>
      </c>
    </row>
    <row r="1050" spans="22:23">
      <c r="V1050" s="4" t="s">
        <v>380</v>
      </c>
      <c r="W1050" s="4" t="s">
        <v>1638</v>
      </c>
    </row>
    <row r="1051" spans="22:23">
      <c r="V1051" s="4" t="s">
        <v>380</v>
      </c>
      <c r="W1051" s="4" t="s">
        <v>857</v>
      </c>
    </row>
    <row r="1052" spans="22:23">
      <c r="V1052" s="4" t="s">
        <v>380</v>
      </c>
      <c r="W1052" s="4" t="s">
        <v>859</v>
      </c>
    </row>
    <row r="1053" spans="22:23">
      <c r="V1053" s="4" t="s">
        <v>380</v>
      </c>
      <c r="W1053" s="4" t="s">
        <v>1178</v>
      </c>
    </row>
    <row r="1054" spans="22:23">
      <c r="V1054" s="4" t="s">
        <v>380</v>
      </c>
      <c r="W1054" s="4" t="s">
        <v>1639</v>
      </c>
    </row>
    <row r="1055" spans="22:23">
      <c r="V1055" s="4" t="s">
        <v>380</v>
      </c>
      <c r="W1055" s="4" t="s">
        <v>861</v>
      </c>
    </row>
    <row r="1056" spans="22:23">
      <c r="V1056" s="4" t="s">
        <v>380</v>
      </c>
      <c r="W1056" s="4" t="s">
        <v>1640</v>
      </c>
    </row>
    <row r="1057" spans="22:23">
      <c r="V1057" s="4" t="s">
        <v>380</v>
      </c>
      <c r="W1057" s="4" t="s">
        <v>1641</v>
      </c>
    </row>
    <row r="1058" spans="22:23">
      <c r="V1058" s="4" t="s">
        <v>380</v>
      </c>
      <c r="W1058" s="4" t="s">
        <v>1180</v>
      </c>
    </row>
    <row r="1059" spans="22:23">
      <c r="V1059" s="4" t="s">
        <v>380</v>
      </c>
      <c r="W1059" s="4" t="s">
        <v>1642</v>
      </c>
    </row>
    <row r="1060" spans="22:23">
      <c r="V1060" s="4" t="s">
        <v>380</v>
      </c>
      <c r="W1060" s="4" t="s">
        <v>1182</v>
      </c>
    </row>
    <row r="1061" spans="22:23">
      <c r="V1061" s="4" t="s">
        <v>380</v>
      </c>
      <c r="W1061" s="4" t="s">
        <v>1184</v>
      </c>
    </row>
    <row r="1062" spans="22:23">
      <c r="V1062" s="4" t="s">
        <v>380</v>
      </c>
      <c r="W1062" s="4" t="s">
        <v>1186</v>
      </c>
    </row>
    <row r="1063" spans="22:23">
      <c r="V1063" s="4" t="s">
        <v>380</v>
      </c>
      <c r="W1063" s="4" t="s">
        <v>1188</v>
      </c>
    </row>
    <row r="1064" spans="22:23">
      <c r="V1064" s="4" t="s">
        <v>380</v>
      </c>
      <c r="W1064" s="4" t="s">
        <v>1069</v>
      </c>
    </row>
    <row r="1065" spans="22:23">
      <c r="V1065" s="4" t="s">
        <v>380</v>
      </c>
      <c r="W1065" s="4" t="s">
        <v>1192</v>
      </c>
    </row>
    <row r="1066" spans="22:23">
      <c r="V1066" s="4" t="s">
        <v>380</v>
      </c>
      <c r="W1066" s="4" t="s">
        <v>1643</v>
      </c>
    </row>
    <row r="1067" spans="22:23">
      <c r="V1067" s="4" t="s">
        <v>380</v>
      </c>
      <c r="W1067" s="4" t="s">
        <v>1315</v>
      </c>
    </row>
    <row r="1068" spans="22:23">
      <c r="V1068" s="4" t="s">
        <v>380</v>
      </c>
      <c r="W1068" s="4" t="s">
        <v>1644</v>
      </c>
    </row>
    <row r="1069" spans="22:23">
      <c r="V1069" s="4" t="s">
        <v>380</v>
      </c>
      <c r="W1069" s="4" t="s">
        <v>1645</v>
      </c>
    </row>
    <row r="1070" spans="22:23">
      <c r="V1070" s="4" t="s">
        <v>380</v>
      </c>
      <c r="W1070" s="4" t="s">
        <v>1646</v>
      </c>
    </row>
    <row r="1071" spans="22:23">
      <c r="V1071" s="4" t="s">
        <v>380</v>
      </c>
      <c r="W1071" s="4" t="s">
        <v>1647</v>
      </c>
    </row>
    <row r="1072" spans="22:23">
      <c r="V1072" s="4" t="s">
        <v>380</v>
      </c>
      <c r="W1072" s="4" t="s">
        <v>1648</v>
      </c>
    </row>
    <row r="1073" spans="22:23">
      <c r="V1073" s="4" t="s">
        <v>380</v>
      </c>
      <c r="W1073" s="4" t="s">
        <v>1649</v>
      </c>
    </row>
    <row r="1074" spans="22:23">
      <c r="V1074" s="4" t="s">
        <v>380</v>
      </c>
      <c r="W1074" s="4" t="s">
        <v>1650</v>
      </c>
    </row>
    <row r="1075" spans="22:23">
      <c r="V1075" s="4" t="s">
        <v>380</v>
      </c>
      <c r="W1075" s="4" t="s">
        <v>1651</v>
      </c>
    </row>
    <row r="1076" spans="22:23">
      <c r="V1076" s="4" t="s">
        <v>385</v>
      </c>
      <c r="W1076" s="4" t="s">
        <v>640</v>
      </c>
    </row>
    <row r="1077" spans="22:23">
      <c r="V1077" s="4" t="s">
        <v>385</v>
      </c>
      <c r="W1077" s="4" t="s">
        <v>863</v>
      </c>
    </row>
    <row r="1078" spans="22:23">
      <c r="V1078" s="4" t="s">
        <v>385</v>
      </c>
      <c r="W1078" s="4" t="s">
        <v>1194</v>
      </c>
    </row>
    <row r="1079" spans="22:23">
      <c r="V1079" s="4" t="s">
        <v>385</v>
      </c>
      <c r="W1079" s="4" t="s">
        <v>1652</v>
      </c>
    </row>
    <row r="1080" spans="22:23">
      <c r="V1080" s="4" t="s">
        <v>385</v>
      </c>
      <c r="W1080" s="4" t="s">
        <v>642</v>
      </c>
    </row>
    <row r="1081" spans="22:23">
      <c r="V1081" s="4" t="s">
        <v>385</v>
      </c>
      <c r="W1081" s="4" t="s">
        <v>865</v>
      </c>
    </row>
    <row r="1082" spans="22:23">
      <c r="V1082" s="4" t="s">
        <v>385</v>
      </c>
      <c r="W1082" s="4" t="s">
        <v>1653</v>
      </c>
    </row>
    <row r="1083" spans="22:23">
      <c r="V1083" s="4" t="s">
        <v>385</v>
      </c>
      <c r="W1083" s="4" t="s">
        <v>867</v>
      </c>
    </row>
    <row r="1084" spans="22:23">
      <c r="V1084" s="4" t="s">
        <v>385</v>
      </c>
      <c r="W1084" s="4" t="s">
        <v>1198</v>
      </c>
    </row>
    <row r="1085" spans="22:23">
      <c r="V1085" s="4" t="s">
        <v>385</v>
      </c>
      <c r="W1085" s="4" t="s">
        <v>1200</v>
      </c>
    </row>
    <row r="1086" spans="22:23">
      <c r="V1086" s="4" t="s">
        <v>385</v>
      </c>
      <c r="W1086" s="4" t="s">
        <v>1654</v>
      </c>
    </row>
    <row r="1087" spans="22:23">
      <c r="V1087" s="4" t="s">
        <v>385</v>
      </c>
      <c r="W1087" s="4" t="s">
        <v>1204</v>
      </c>
    </row>
    <row r="1088" spans="22:23">
      <c r="V1088" s="4" t="s">
        <v>385</v>
      </c>
      <c r="W1088" s="4" t="s">
        <v>1655</v>
      </c>
    </row>
    <row r="1089" spans="22:23">
      <c r="V1089" s="4" t="s">
        <v>385</v>
      </c>
      <c r="W1089" s="4" t="s">
        <v>1656</v>
      </c>
    </row>
    <row r="1090" spans="22:23">
      <c r="V1090" s="4" t="s">
        <v>385</v>
      </c>
      <c r="W1090" s="4" t="s">
        <v>1657</v>
      </c>
    </row>
    <row r="1091" spans="22:23">
      <c r="V1091" s="4" t="s">
        <v>385</v>
      </c>
      <c r="W1091" s="4" t="s">
        <v>1658</v>
      </c>
    </row>
    <row r="1092" spans="22:23">
      <c r="V1092" s="4" t="s">
        <v>385</v>
      </c>
      <c r="W1092" s="4" t="s">
        <v>1659</v>
      </c>
    </row>
    <row r="1093" spans="22:23">
      <c r="V1093" s="4" t="s">
        <v>385</v>
      </c>
      <c r="W1093" s="4" t="s">
        <v>1660</v>
      </c>
    </row>
    <row r="1094" spans="22:23">
      <c r="V1094" s="4" t="s">
        <v>385</v>
      </c>
      <c r="W1094" s="4" t="s">
        <v>1661</v>
      </c>
    </row>
    <row r="1095" spans="22:23">
      <c r="V1095" s="4" t="s">
        <v>389</v>
      </c>
      <c r="W1095" s="4" t="s">
        <v>646</v>
      </c>
    </row>
    <row r="1096" spans="22:23">
      <c r="V1096" s="4" t="s">
        <v>389</v>
      </c>
      <c r="W1096" s="4" t="s">
        <v>1662</v>
      </c>
    </row>
    <row r="1097" spans="22:23">
      <c r="V1097" s="4" t="s">
        <v>389</v>
      </c>
      <c r="W1097" s="4" t="s">
        <v>1663</v>
      </c>
    </row>
    <row r="1098" spans="22:23">
      <c r="V1098" s="4" t="s">
        <v>389</v>
      </c>
      <c r="W1098" s="4" t="s">
        <v>1664</v>
      </c>
    </row>
    <row r="1099" spans="22:23">
      <c r="V1099" s="4" t="s">
        <v>389</v>
      </c>
      <c r="W1099" s="4" t="s">
        <v>869</v>
      </c>
    </row>
    <row r="1100" spans="22:23">
      <c r="V1100" s="4" t="s">
        <v>389</v>
      </c>
      <c r="W1100" s="4" t="s">
        <v>1665</v>
      </c>
    </row>
    <row r="1101" spans="22:23">
      <c r="V1101" s="4" t="s">
        <v>389</v>
      </c>
      <c r="W1101" s="4" t="s">
        <v>871</v>
      </c>
    </row>
    <row r="1102" spans="22:23">
      <c r="V1102" s="4" t="s">
        <v>389</v>
      </c>
      <c r="W1102" s="4" t="s">
        <v>873</v>
      </c>
    </row>
    <row r="1103" spans="22:23">
      <c r="V1103" s="4" t="s">
        <v>389</v>
      </c>
      <c r="W1103" s="4" t="s">
        <v>875</v>
      </c>
    </row>
    <row r="1104" spans="22:23">
      <c r="V1104" s="4" t="s">
        <v>389</v>
      </c>
      <c r="W1104" s="4" t="s">
        <v>648</v>
      </c>
    </row>
    <row r="1105" spans="22:23">
      <c r="V1105" s="4" t="s">
        <v>389</v>
      </c>
      <c r="W1105" s="4" t="s">
        <v>877</v>
      </c>
    </row>
    <row r="1106" spans="22:23">
      <c r="V1106" s="4" t="s">
        <v>389</v>
      </c>
      <c r="W1106" s="4" t="s">
        <v>879</v>
      </c>
    </row>
    <row r="1107" spans="22:23">
      <c r="V1107" s="4" t="s">
        <v>389</v>
      </c>
      <c r="W1107" s="4" t="s">
        <v>1666</v>
      </c>
    </row>
    <row r="1108" spans="22:23">
      <c r="V1108" s="4" t="s">
        <v>389</v>
      </c>
      <c r="W1108" s="4" t="s">
        <v>1667</v>
      </c>
    </row>
    <row r="1109" spans="22:23">
      <c r="V1109" s="4" t="s">
        <v>389</v>
      </c>
      <c r="W1109" s="4" t="s">
        <v>881</v>
      </c>
    </row>
    <row r="1110" spans="22:23">
      <c r="V1110" s="4" t="s">
        <v>389</v>
      </c>
      <c r="W1110" s="4" t="s">
        <v>883</v>
      </c>
    </row>
    <row r="1111" spans="22:23">
      <c r="V1111" s="4" t="s">
        <v>389</v>
      </c>
      <c r="W1111" s="4" t="s">
        <v>1210</v>
      </c>
    </row>
    <row r="1112" spans="22:23">
      <c r="V1112" s="4" t="s">
        <v>389</v>
      </c>
      <c r="W1112" s="4" t="s">
        <v>1668</v>
      </c>
    </row>
    <row r="1113" spans="22:23">
      <c r="V1113" s="4" t="s">
        <v>389</v>
      </c>
      <c r="W1113" s="4" t="s">
        <v>1669</v>
      </c>
    </row>
    <row r="1114" spans="22:23">
      <c r="V1114" s="4" t="s">
        <v>389</v>
      </c>
      <c r="W1114" s="4" t="s">
        <v>1670</v>
      </c>
    </row>
    <row r="1115" spans="22:23">
      <c r="V1115" s="4" t="s">
        <v>389</v>
      </c>
      <c r="W1115" s="4" t="s">
        <v>1671</v>
      </c>
    </row>
    <row r="1116" spans="22:23">
      <c r="V1116" s="4" t="s">
        <v>389</v>
      </c>
      <c r="W1116" s="4" t="s">
        <v>885</v>
      </c>
    </row>
    <row r="1117" spans="22:23">
      <c r="V1117" s="4" t="s">
        <v>389</v>
      </c>
      <c r="W1117" s="4" t="s">
        <v>1672</v>
      </c>
    </row>
    <row r="1118" spans="22:23">
      <c r="V1118" s="4" t="s">
        <v>389</v>
      </c>
      <c r="W1118" s="4" t="s">
        <v>1673</v>
      </c>
    </row>
    <row r="1119" spans="22:23">
      <c r="V1119" s="4" t="s">
        <v>389</v>
      </c>
      <c r="W1119" s="4" t="s">
        <v>1674</v>
      </c>
    </row>
    <row r="1120" spans="22:23">
      <c r="V1120" s="4" t="s">
        <v>389</v>
      </c>
      <c r="W1120" s="4" t="s">
        <v>1675</v>
      </c>
    </row>
    <row r="1121" spans="22:23">
      <c r="V1121" s="4" t="s">
        <v>393</v>
      </c>
      <c r="W1121" s="4" t="s">
        <v>1676</v>
      </c>
    </row>
    <row r="1122" spans="22:23">
      <c r="V1122" s="4" t="s">
        <v>393</v>
      </c>
      <c r="W1122" s="4" t="s">
        <v>650</v>
      </c>
    </row>
    <row r="1123" spans="22:23">
      <c r="V1123" s="4" t="s">
        <v>393</v>
      </c>
      <c r="W1123" s="4" t="s">
        <v>887</v>
      </c>
    </row>
    <row r="1124" spans="22:23">
      <c r="V1124" s="4" t="s">
        <v>393</v>
      </c>
      <c r="W1124" s="4" t="s">
        <v>547</v>
      </c>
    </row>
    <row r="1125" spans="22:23">
      <c r="V1125" s="4" t="s">
        <v>393</v>
      </c>
      <c r="W1125" s="4" t="s">
        <v>549</v>
      </c>
    </row>
    <row r="1126" spans="22:23">
      <c r="V1126" s="4" t="s">
        <v>393</v>
      </c>
      <c r="W1126" s="4" t="s">
        <v>551</v>
      </c>
    </row>
    <row r="1127" spans="22:23">
      <c r="V1127" s="4" t="s">
        <v>393</v>
      </c>
      <c r="W1127" s="4" t="s">
        <v>889</v>
      </c>
    </row>
    <row r="1128" spans="22:23">
      <c r="V1128" s="4" t="s">
        <v>393</v>
      </c>
      <c r="W1128" s="4" t="s">
        <v>553</v>
      </c>
    </row>
    <row r="1129" spans="22:23">
      <c r="V1129" s="4" t="s">
        <v>393</v>
      </c>
      <c r="W1129" s="4" t="s">
        <v>891</v>
      </c>
    </row>
    <row r="1130" spans="22:23">
      <c r="V1130" s="4" t="s">
        <v>393</v>
      </c>
      <c r="W1130" s="4" t="s">
        <v>501</v>
      </c>
    </row>
    <row r="1131" spans="22:23">
      <c r="V1131" s="4" t="s">
        <v>393</v>
      </c>
      <c r="W1131" s="4" t="s">
        <v>652</v>
      </c>
    </row>
    <row r="1132" spans="22:23">
      <c r="V1132" s="4" t="s">
        <v>393</v>
      </c>
      <c r="W1132" s="4" t="s">
        <v>654</v>
      </c>
    </row>
    <row r="1133" spans="22:23">
      <c r="V1133" s="4" t="s">
        <v>393</v>
      </c>
      <c r="W1133" s="4" t="s">
        <v>656</v>
      </c>
    </row>
    <row r="1134" spans="22:23">
      <c r="V1134" s="4" t="s">
        <v>393</v>
      </c>
      <c r="W1134" s="4" t="s">
        <v>893</v>
      </c>
    </row>
    <row r="1135" spans="22:23">
      <c r="V1135" s="4" t="s">
        <v>393</v>
      </c>
      <c r="W1135" s="4" t="s">
        <v>895</v>
      </c>
    </row>
    <row r="1136" spans="22:23">
      <c r="V1136" s="4" t="s">
        <v>393</v>
      </c>
      <c r="W1136" s="4" t="s">
        <v>555</v>
      </c>
    </row>
    <row r="1137" spans="22:23">
      <c r="V1137" s="4" t="s">
        <v>393</v>
      </c>
      <c r="W1137" s="4" t="s">
        <v>897</v>
      </c>
    </row>
    <row r="1138" spans="22:23">
      <c r="V1138" s="4" t="s">
        <v>393</v>
      </c>
      <c r="W1138" s="4" t="s">
        <v>658</v>
      </c>
    </row>
    <row r="1139" spans="22:23">
      <c r="V1139" s="4" t="s">
        <v>393</v>
      </c>
      <c r="W1139" s="4" t="s">
        <v>503</v>
      </c>
    </row>
    <row r="1140" spans="22:23">
      <c r="V1140" s="4" t="s">
        <v>393</v>
      </c>
      <c r="W1140" s="4" t="s">
        <v>899</v>
      </c>
    </row>
    <row r="1141" spans="22:23">
      <c r="V1141" s="4" t="s">
        <v>393</v>
      </c>
      <c r="W1141" s="4" t="s">
        <v>557</v>
      </c>
    </row>
    <row r="1142" spans="22:23">
      <c r="V1142" s="4" t="s">
        <v>393</v>
      </c>
      <c r="W1142" s="4" t="s">
        <v>901</v>
      </c>
    </row>
    <row r="1143" spans="22:23">
      <c r="V1143" s="4" t="s">
        <v>393</v>
      </c>
      <c r="W1143" s="4" t="s">
        <v>903</v>
      </c>
    </row>
    <row r="1144" spans="22:23">
      <c r="V1144" s="4" t="s">
        <v>393</v>
      </c>
      <c r="W1144" s="4" t="s">
        <v>505</v>
      </c>
    </row>
    <row r="1145" spans="22:23">
      <c r="V1145" s="4" t="s">
        <v>393</v>
      </c>
      <c r="W1145" s="4" t="s">
        <v>660</v>
      </c>
    </row>
    <row r="1146" spans="22:23">
      <c r="V1146" s="4" t="s">
        <v>393</v>
      </c>
      <c r="W1146" s="4" t="s">
        <v>662</v>
      </c>
    </row>
    <row r="1147" spans="22:23">
      <c r="V1147" s="4" t="s">
        <v>393</v>
      </c>
      <c r="W1147" s="4" t="s">
        <v>905</v>
      </c>
    </row>
    <row r="1148" spans="22:23">
      <c r="V1148" s="4" t="s">
        <v>393</v>
      </c>
      <c r="W1148" s="4" t="s">
        <v>664</v>
      </c>
    </row>
    <row r="1149" spans="22:23">
      <c r="V1149" s="4" t="s">
        <v>393</v>
      </c>
      <c r="W1149" s="4" t="s">
        <v>907</v>
      </c>
    </row>
    <row r="1150" spans="22:23">
      <c r="V1150" s="4" t="s">
        <v>393</v>
      </c>
      <c r="W1150" s="4" t="s">
        <v>559</v>
      </c>
    </row>
    <row r="1151" spans="22:23">
      <c r="V1151" s="4" t="s">
        <v>393</v>
      </c>
      <c r="W1151" s="4" t="s">
        <v>666</v>
      </c>
    </row>
    <row r="1152" spans="22:23">
      <c r="V1152" s="4" t="s">
        <v>393</v>
      </c>
      <c r="W1152" s="4" t="s">
        <v>909</v>
      </c>
    </row>
    <row r="1153" spans="22:23">
      <c r="V1153" s="4" t="s">
        <v>393</v>
      </c>
      <c r="W1153" s="4" t="s">
        <v>911</v>
      </c>
    </row>
    <row r="1154" spans="22:23">
      <c r="V1154" s="4" t="s">
        <v>393</v>
      </c>
      <c r="W1154" s="4" t="s">
        <v>913</v>
      </c>
    </row>
    <row r="1155" spans="22:23">
      <c r="V1155" s="4" t="s">
        <v>393</v>
      </c>
      <c r="W1155" s="4" t="s">
        <v>915</v>
      </c>
    </row>
    <row r="1156" spans="22:23">
      <c r="V1156" s="4" t="s">
        <v>393</v>
      </c>
      <c r="W1156" s="4" t="s">
        <v>916</v>
      </c>
    </row>
    <row r="1157" spans="22:23">
      <c r="V1157" s="4" t="s">
        <v>393</v>
      </c>
      <c r="W1157" s="4" t="s">
        <v>918</v>
      </c>
    </row>
    <row r="1158" spans="22:23">
      <c r="V1158" s="4" t="s">
        <v>393</v>
      </c>
      <c r="W1158" s="4" t="s">
        <v>920</v>
      </c>
    </row>
    <row r="1159" spans="22:23">
      <c r="V1159" s="4" t="s">
        <v>393</v>
      </c>
      <c r="W1159" s="4" t="s">
        <v>922</v>
      </c>
    </row>
    <row r="1160" spans="22:23">
      <c r="V1160" s="4" t="s">
        <v>393</v>
      </c>
      <c r="W1160" s="4" t="s">
        <v>924</v>
      </c>
    </row>
    <row r="1161" spans="22:23">
      <c r="V1161" s="4" t="s">
        <v>393</v>
      </c>
      <c r="W1161" s="4" t="s">
        <v>1677</v>
      </c>
    </row>
    <row r="1162" spans="22:23">
      <c r="V1162" s="4" t="s">
        <v>393</v>
      </c>
      <c r="W1162" s="4" t="s">
        <v>928</v>
      </c>
    </row>
    <row r="1163" spans="22:23">
      <c r="V1163" s="4" t="s">
        <v>393</v>
      </c>
      <c r="W1163" s="4" t="s">
        <v>930</v>
      </c>
    </row>
    <row r="1164" spans="22:23">
      <c r="V1164" s="4" t="s">
        <v>397</v>
      </c>
      <c r="W1164" s="4" t="s">
        <v>561</v>
      </c>
    </row>
    <row r="1165" spans="22:23">
      <c r="V1165" s="4" t="s">
        <v>397</v>
      </c>
      <c r="W1165" s="4" t="s">
        <v>1212</v>
      </c>
    </row>
    <row r="1166" spans="22:23">
      <c r="V1166" s="4" t="s">
        <v>397</v>
      </c>
      <c r="W1166" s="4" t="s">
        <v>668</v>
      </c>
    </row>
    <row r="1167" spans="22:23">
      <c r="V1167" s="4" t="s">
        <v>397</v>
      </c>
      <c r="W1167" s="4" t="s">
        <v>932</v>
      </c>
    </row>
    <row r="1168" spans="22:23">
      <c r="V1168" s="4" t="s">
        <v>397</v>
      </c>
      <c r="W1168" s="4" t="s">
        <v>508</v>
      </c>
    </row>
    <row r="1169" spans="22:23">
      <c r="V1169" s="4" t="s">
        <v>397</v>
      </c>
      <c r="W1169" s="4" t="s">
        <v>1678</v>
      </c>
    </row>
    <row r="1170" spans="22:23">
      <c r="V1170" s="4" t="s">
        <v>397</v>
      </c>
      <c r="W1170" s="4" t="s">
        <v>510</v>
      </c>
    </row>
    <row r="1171" spans="22:23">
      <c r="V1171" s="4" t="s">
        <v>397</v>
      </c>
      <c r="W1171" s="4" t="s">
        <v>670</v>
      </c>
    </row>
    <row r="1172" spans="22:23">
      <c r="V1172" s="4" t="s">
        <v>397</v>
      </c>
      <c r="W1172" s="4" t="s">
        <v>1679</v>
      </c>
    </row>
    <row r="1173" spans="22:23">
      <c r="V1173" s="4" t="s">
        <v>397</v>
      </c>
      <c r="W1173" s="4" t="s">
        <v>1680</v>
      </c>
    </row>
    <row r="1174" spans="22:23">
      <c r="V1174" s="4" t="s">
        <v>397</v>
      </c>
      <c r="W1174" s="4" t="s">
        <v>1214</v>
      </c>
    </row>
    <row r="1175" spans="22:23">
      <c r="V1175" s="4" t="s">
        <v>397</v>
      </c>
      <c r="W1175" s="4" t="s">
        <v>1681</v>
      </c>
    </row>
    <row r="1176" spans="22:23">
      <c r="V1176" s="4" t="s">
        <v>397</v>
      </c>
      <c r="W1176" s="4" t="s">
        <v>1682</v>
      </c>
    </row>
    <row r="1177" spans="22:23">
      <c r="V1177" s="4" t="s">
        <v>397</v>
      </c>
      <c r="W1177" s="4" t="s">
        <v>512</v>
      </c>
    </row>
    <row r="1178" spans="22:23">
      <c r="V1178" s="4" t="s">
        <v>397</v>
      </c>
      <c r="W1178" s="4" t="s">
        <v>1216</v>
      </c>
    </row>
    <row r="1179" spans="22:23">
      <c r="V1179" s="4" t="s">
        <v>397</v>
      </c>
      <c r="W1179" s="4" t="s">
        <v>1218</v>
      </c>
    </row>
    <row r="1180" spans="22:23">
      <c r="V1180" s="4" t="s">
        <v>397</v>
      </c>
      <c r="W1180" s="4" t="s">
        <v>672</v>
      </c>
    </row>
    <row r="1181" spans="22:23">
      <c r="V1181" s="4" t="s">
        <v>397</v>
      </c>
      <c r="W1181" s="4" t="s">
        <v>1683</v>
      </c>
    </row>
    <row r="1182" spans="22:23">
      <c r="V1182" s="4" t="s">
        <v>397</v>
      </c>
      <c r="W1182" s="4" t="s">
        <v>674</v>
      </c>
    </row>
    <row r="1183" spans="22:23">
      <c r="V1183" s="4" t="s">
        <v>397</v>
      </c>
      <c r="W1183" s="4" t="s">
        <v>1684</v>
      </c>
    </row>
    <row r="1184" spans="22:23">
      <c r="V1184" s="4" t="s">
        <v>397</v>
      </c>
      <c r="W1184" s="4" t="s">
        <v>1685</v>
      </c>
    </row>
    <row r="1185" spans="22:23">
      <c r="V1185" s="4" t="s">
        <v>397</v>
      </c>
      <c r="W1185" s="4" t="s">
        <v>1686</v>
      </c>
    </row>
    <row r="1186" spans="22:23">
      <c r="V1186" s="4" t="s">
        <v>397</v>
      </c>
      <c r="W1186" s="4" t="s">
        <v>1687</v>
      </c>
    </row>
    <row r="1187" spans="22:23">
      <c r="V1187" s="4" t="s">
        <v>397</v>
      </c>
      <c r="W1187" s="4" t="s">
        <v>1688</v>
      </c>
    </row>
    <row r="1188" spans="22:23">
      <c r="V1188" s="4" t="s">
        <v>397</v>
      </c>
      <c r="W1188" s="4" t="s">
        <v>1689</v>
      </c>
    </row>
    <row r="1189" spans="22:23">
      <c r="V1189" s="4" t="s">
        <v>397</v>
      </c>
      <c r="W1189" s="4" t="s">
        <v>1690</v>
      </c>
    </row>
    <row r="1190" spans="22:23">
      <c r="V1190" s="4" t="s">
        <v>397</v>
      </c>
      <c r="W1190" s="4" t="s">
        <v>1691</v>
      </c>
    </row>
    <row r="1191" spans="22:23">
      <c r="V1191" s="4" t="s">
        <v>397</v>
      </c>
      <c r="W1191" s="4" t="s">
        <v>1692</v>
      </c>
    </row>
    <row r="1192" spans="22:23">
      <c r="V1192" s="4" t="s">
        <v>397</v>
      </c>
      <c r="W1192" s="4" t="s">
        <v>1693</v>
      </c>
    </row>
    <row r="1193" spans="22:23">
      <c r="V1193" s="4" t="s">
        <v>397</v>
      </c>
      <c r="W1193" s="4" t="s">
        <v>934</v>
      </c>
    </row>
    <row r="1194" spans="22:23">
      <c r="V1194" s="4" t="s">
        <v>397</v>
      </c>
      <c r="W1194" s="4" t="s">
        <v>1694</v>
      </c>
    </row>
    <row r="1195" spans="22:23">
      <c r="V1195" s="4" t="s">
        <v>397</v>
      </c>
      <c r="W1195" s="4" t="s">
        <v>1220</v>
      </c>
    </row>
    <row r="1196" spans="22:23">
      <c r="V1196" s="4" t="s">
        <v>397</v>
      </c>
      <c r="W1196" s="4" t="s">
        <v>1221</v>
      </c>
    </row>
    <row r="1197" spans="22:23">
      <c r="V1197" s="4" t="s">
        <v>397</v>
      </c>
      <c r="W1197" s="4" t="s">
        <v>1695</v>
      </c>
    </row>
    <row r="1198" spans="22:23">
      <c r="V1198" s="4" t="s">
        <v>397</v>
      </c>
      <c r="W1198" s="4" t="s">
        <v>1696</v>
      </c>
    </row>
    <row r="1199" spans="22:23">
      <c r="V1199" s="4" t="s">
        <v>397</v>
      </c>
      <c r="W1199" s="4" t="s">
        <v>1697</v>
      </c>
    </row>
    <row r="1200" spans="22:23">
      <c r="V1200" s="4" t="s">
        <v>397</v>
      </c>
      <c r="W1200" s="4" t="s">
        <v>1677</v>
      </c>
    </row>
    <row r="1201" spans="22:23">
      <c r="V1201" s="4" t="s">
        <v>397</v>
      </c>
      <c r="W1201" s="4" t="s">
        <v>1698</v>
      </c>
    </row>
    <row r="1202" spans="22:23">
      <c r="V1202" s="4" t="s">
        <v>397</v>
      </c>
      <c r="W1202" s="4" t="s">
        <v>1699</v>
      </c>
    </row>
    <row r="1203" spans="22:23">
      <c r="V1203" s="4" t="s">
        <v>397</v>
      </c>
      <c r="W1203" s="4" t="s">
        <v>1700</v>
      </c>
    </row>
    <row r="1204" spans="22:23">
      <c r="V1204" s="4" t="s">
        <v>397</v>
      </c>
      <c r="W1204" s="4" t="s">
        <v>1701</v>
      </c>
    </row>
    <row r="1205" spans="22:23">
      <c r="V1205" s="4" t="s">
        <v>402</v>
      </c>
      <c r="W1205" s="4" t="s">
        <v>936</v>
      </c>
    </row>
    <row r="1206" spans="22:23">
      <c r="V1206" s="4" t="s">
        <v>402</v>
      </c>
      <c r="W1206" s="4" t="s">
        <v>1222</v>
      </c>
    </row>
    <row r="1207" spans="22:23">
      <c r="V1207" s="4" t="s">
        <v>402</v>
      </c>
      <c r="W1207" s="4" t="s">
        <v>938</v>
      </c>
    </row>
    <row r="1208" spans="22:23">
      <c r="V1208" s="4" t="s">
        <v>402</v>
      </c>
      <c r="W1208" s="4" t="s">
        <v>1223</v>
      </c>
    </row>
    <row r="1209" spans="22:23">
      <c r="V1209" s="4" t="s">
        <v>402</v>
      </c>
      <c r="W1209" s="4" t="s">
        <v>1224</v>
      </c>
    </row>
    <row r="1210" spans="22:23">
      <c r="V1210" s="4" t="s">
        <v>402</v>
      </c>
      <c r="W1210" s="4" t="s">
        <v>1226</v>
      </c>
    </row>
    <row r="1211" spans="22:23">
      <c r="V1211" s="4" t="s">
        <v>402</v>
      </c>
      <c r="W1211" s="4" t="s">
        <v>1702</v>
      </c>
    </row>
    <row r="1212" spans="22:23">
      <c r="V1212" s="4" t="s">
        <v>402</v>
      </c>
      <c r="W1212" s="4" t="s">
        <v>1227</v>
      </c>
    </row>
    <row r="1213" spans="22:23">
      <c r="V1213" s="4" t="s">
        <v>402</v>
      </c>
      <c r="W1213" s="4" t="s">
        <v>940</v>
      </c>
    </row>
    <row r="1214" spans="22:23">
      <c r="V1214" s="4" t="s">
        <v>402</v>
      </c>
      <c r="W1214" s="4" t="s">
        <v>1228</v>
      </c>
    </row>
    <row r="1215" spans="22:23">
      <c r="V1215" s="4" t="s">
        <v>402</v>
      </c>
      <c r="W1215" s="4" t="s">
        <v>1229</v>
      </c>
    </row>
    <row r="1216" spans="22:23">
      <c r="V1216" s="4" t="s">
        <v>402</v>
      </c>
      <c r="W1216" s="4" t="s">
        <v>1230</v>
      </c>
    </row>
    <row r="1217" spans="22:23">
      <c r="V1217" s="4" t="s">
        <v>402</v>
      </c>
      <c r="W1217" s="4" t="s">
        <v>1232</v>
      </c>
    </row>
    <row r="1218" spans="22:23">
      <c r="V1218" s="4" t="s">
        <v>402</v>
      </c>
      <c r="W1218" s="4" t="s">
        <v>1234</v>
      </c>
    </row>
    <row r="1219" spans="22:23">
      <c r="V1219" s="4" t="s">
        <v>402</v>
      </c>
      <c r="W1219" s="4" t="s">
        <v>1236</v>
      </c>
    </row>
    <row r="1220" spans="22:23">
      <c r="V1220" s="4" t="s">
        <v>402</v>
      </c>
      <c r="W1220" s="4" t="s">
        <v>1237</v>
      </c>
    </row>
    <row r="1221" spans="22:23">
      <c r="V1221" s="4" t="s">
        <v>402</v>
      </c>
      <c r="W1221" s="4" t="s">
        <v>1238</v>
      </c>
    </row>
    <row r="1222" spans="22:23">
      <c r="V1222" s="4" t="s">
        <v>402</v>
      </c>
      <c r="W1222" s="4" t="s">
        <v>1091</v>
      </c>
    </row>
    <row r="1223" spans="22:23">
      <c r="V1223" s="4" t="s">
        <v>402</v>
      </c>
      <c r="W1223" s="4" t="s">
        <v>1240</v>
      </c>
    </row>
    <row r="1224" spans="22:23">
      <c r="V1224" s="4" t="s">
        <v>402</v>
      </c>
      <c r="W1224" s="4" t="s">
        <v>1241</v>
      </c>
    </row>
    <row r="1225" spans="22:23">
      <c r="V1225" s="4" t="s">
        <v>402</v>
      </c>
      <c r="W1225" s="4" t="s">
        <v>1243</v>
      </c>
    </row>
    <row r="1226" spans="22:23">
      <c r="V1226" s="4" t="s">
        <v>402</v>
      </c>
      <c r="W1226" s="4" t="s">
        <v>1703</v>
      </c>
    </row>
    <row r="1227" spans="22:23">
      <c r="V1227" s="4" t="s">
        <v>402</v>
      </c>
      <c r="W1227" s="4" t="s">
        <v>1704</v>
      </c>
    </row>
    <row r="1228" spans="22:23">
      <c r="V1228" s="4" t="s">
        <v>402</v>
      </c>
      <c r="W1228" s="4" t="s">
        <v>1245</v>
      </c>
    </row>
    <row r="1229" spans="22:23">
      <c r="V1229" s="4" t="s">
        <v>402</v>
      </c>
      <c r="W1229" s="4" t="s">
        <v>1246</v>
      </c>
    </row>
    <row r="1230" spans="22:23">
      <c r="V1230" s="4" t="s">
        <v>402</v>
      </c>
      <c r="W1230" s="4" t="s">
        <v>1248</v>
      </c>
    </row>
    <row r="1231" spans="22:23">
      <c r="V1231" s="4" t="s">
        <v>402</v>
      </c>
      <c r="W1231" s="4" t="s">
        <v>1249</v>
      </c>
    </row>
    <row r="1232" spans="22:23">
      <c r="V1232" s="4" t="s">
        <v>402</v>
      </c>
      <c r="W1232" s="4" t="s">
        <v>1250</v>
      </c>
    </row>
    <row r="1233" spans="22:23">
      <c r="V1233" s="4" t="s">
        <v>402</v>
      </c>
      <c r="W1233" s="4" t="s">
        <v>1705</v>
      </c>
    </row>
    <row r="1234" spans="22:23">
      <c r="V1234" s="4" t="s">
        <v>402</v>
      </c>
      <c r="W1234" s="4" t="s">
        <v>1706</v>
      </c>
    </row>
    <row r="1235" spans="22:23">
      <c r="V1235" s="4" t="s">
        <v>402</v>
      </c>
      <c r="W1235" s="4" t="s">
        <v>1707</v>
      </c>
    </row>
    <row r="1236" spans="22:23">
      <c r="V1236" s="4" t="s">
        <v>402</v>
      </c>
      <c r="W1236" s="4" t="s">
        <v>1708</v>
      </c>
    </row>
    <row r="1237" spans="22:23">
      <c r="V1237" s="4" t="s">
        <v>402</v>
      </c>
      <c r="W1237" s="4" t="s">
        <v>1709</v>
      </c>
    </row>
    <row r="1238" spans="22:23">
      <c r="V1238" s="4" t="s">
        <v>402</v>
      </c>
      <c r="W1238" s="4" t="s">
        <v>1710</v>
      </c>
    </row>
    <row r="1239" spans="22:23">
      <c r="V1239" s="4" t="s">
        <v>402</v>
      </c>
      <c r="W1239" s="4" t="s">
        <v>1711</v>
      </c>
    </row>
    <row r="1240" spans="22:23">
      <c r="V1240" s="4" t="s">
        <v>402</v>
      </c>
      <c r="W1240" s="4" t="s">
        <v>1712</v>
      </c>
    </row>
    <row r="1241" spans="22:23">
      <c r="V1241" s="4" t="s">
        <v>402</v>
      </c>
      <c r="W1241" s="4" t="s">
        <v>1713</v>
      </c>
    </row>
    <row r="1242" spans="22:23">
      <c r="V1242" s="4" t="s">
        <v>402</v>
      </c>
      <c r="W1242" s="4" t="s">
        <v>1525</v>
      </c>
    </row>
    <row r="1243" spans="22:23">
      <c r="V1243" s="4" t="s">
        <v>402</v>
      </c>
      <c r="W1243" s="4" t="s">
        <v>1714</v>
      </c>
    </row>
    <row r="1244" spans="22:23">
      <c r="V1244" s="4" t="s">
        <v>406</v>
      </c>
      <c r="W1244" s="4" t="s">
        <v>942</v>
      </c>
    </row>
    <row r="1245" spans="22:23">
      <c r="V1245" s="4" t="s">
        <v>406</v>
      </c>
      <c r="W1245" s="4" t="s">
        <v>1715</v>
      </c>
    </row>
    <row r="1246" spans="22:23">
      <c r="V1246" s="4" t="s">
        <v>406</v>
      </c>
      <c r="W1246" s="4" t="s">
        <v>944</v>
      </c>
    </row>
    <row r="1247" spans="22:23">
      <c r="V1247" s="4" t="s">
        <v>406</v>
      </c>
      <c r="W1247" s="4" t="s">
        <v>1716</v>
      </c>
    </row>
    <row r="1248" spans="22:23">
      <c r="V1248" s="4" t="s">
        <v>406</v>
      </c>
      <c r="W1248" s="4" t="s">
        <v>1717</v>
      </c>
    </row>
    <row r="1249" spans="22:23">
      <c r="V1249" s="4" t="s">
        <v>406</v>
      </c>
      <c r="W1249" s="4" t="s">
        <v>1718</v>
      </c>
    </row>
    <row r="1250" spans="22:23">
      <c r="V1250" s="4" t="s">
        <v>406</v>
      </c>
      <c r="W1250" s="4" t="s">
        <v>1719</v>
      </c>
    </row>
    <row r="1251" spans="22:23">
      <c r="V1251" s="4" t="s">
        <v>406</v>
      </c>
      <c r="W1251" s="4" t="s">
        <v>1720</v>
      </c>
    </row>
    <row r="1252" spans="22:23">
      <c r="V1252" s="4" t="s">
        <v>406</v>
      </c>
      <c r="W1252" s="4" t="s">
        <v>1721</v>
      </c>
    </row>
    <row r="1253" spans="22:23">
      <c r="V1253" s="4" t="s">
        <v>406</v>
      </c>
      <c r="W1253" s="4" t="s">
        <v>1722</v>
      </c>
    </row>
    <row r="1254" spans="22:23">
      <c r="V1254" s="4" t="s">
        <v>406</v>
      </c>
      <c r="W1254" s="4" t="s">
        <v>1723</v>
      </c>
    </row>
    <row r="1255" spans="22:23">
      <c r="V1255" s="4" t="s">
        <v>406</v>
      </c>
      <c r="W1255" s="4" t="s">
        <v>1724</v>
      </c>
    </row>
    <row r="1256" spans="22:23">
      <c r="V1256" s="4" t="s">
        <v>406</v>
      </c>
      <c r="W1256" s="4" t="s">
        <v>1725</v>
      </c>
    </row>
    <row r="1257" spans="22:23">
      <c r="V1257" s="4" t="s">
        <v>406</v>
      </c>
      <c r="W1257" s="4" t="s">
        <v>1726</v>
      </c>
    </row>
    <row r="1258" spans="22:23">
      <c r="V1258" s="4" t="s">
        <v>406</v>
      </c>
      <c r="W1258" s="4" t="s">
        <v>1727</v>
      </c>
    </row>
    <row r="1259" spans="22:23">
      <c r="V1259" s="4" t="s">
        <v>406</v>
      </c>
      <c r="W1259" s="4" t="s">
        <v>1728</v>
      </c>
    </row>
    <row r="1260" spans="22:23">
      <c r="V1260" s="4" t="s">
        <v>406</v>
      </c>
      <c r="W1260" s="4" t="s">
        <v>1479</v>
      </c>
    </row>
    <row r="1261" spans="22:23">
      <c r="V1261" s="4" t="s">
        <v>406</v>
      </c>
      <c r="W1261" s="4" t="s">
        <v>686</v>
      </c>
    </row>
    <row r="1262" spans="22:23">
      <c r="V1262" s="4" t="s">
        <v>406</v>
      </c>
      <c r="W1262" s="4" t="s">
        <v>1729</v>
      </c>
    </row>
    <row r="1263" spans="22:23">
      <c r="V1263" s="4" t="s">
        <v>406</v>
      </c>
      <c r="W1263" s="4" t="s">
        <v>1730</v>
      </c>
    </row>
    <row r="1264" spans="22:23">
      <c r="V1264" s="4" t="s">
        <v>406</v>
      </c>
      <c r="W1264" s="4" t="s">
        <v>1731</v>
      </c>
    </row>
    <row r="1265" spans="22:23">
      <c r="V1265" s="4" t="s">
        <v>406</v>
      </c>
      <c r="W1265" s="4" t="s">
        <v>1732</v>
      </c>
    </row>
    <row r="1266" spans="22:23">
      <c r="V1266" s="4" t="s">
        <v>406</v>
      </c>
      <c r="W1266" s="4" t="s">
        <v>1733</v>
      </c>
    </row>
    <row r="1267" spans="22:23">
      <c r="V1267" s="4" t="s">
        <v>406</v>
      </c>
      <c r="W1267" s="4" t="s">
        <v>1734</v>
      </c>
    </row>
    <row r="1268" spans="22:23">
      <c r="V1268" s="4" t="s">
        <v>406</v>
      </c>
      <c r="W1268" s="4" t="s">
        <v>1735</v>
      </c>
    </row>
    <row r="1269" spans="22:23">
      <c r="V1269" s="4" t="s">
        <v>406</v>
      </c>
      <c r="W1269" s="4" t="s">
        <v>1736</v>
      </c>
    </row>
    <row r="1270" spans="22:23">
      <c r="V1270" s="4" t="s">
        <v>406</v>
      </c>
      <c r="W1270" s="4" t="s">
        <v>1737</v>
      </c>
    </row>
    <row r="1271" spans="22:23">
      <c r="V1271" s="4" t="s">
        <v>406</v>
      </c>
      <c r="W1271" s="4" t="s">
        <v>1738</v>
      </c>
    </row>
    <row r="1272" spans="22:23">
      <c r="V1272" s="4" t="s">
        <v>406</v>
      </c>
      <c r="W1272" s="4" t="s">
        <v>1739</v>
      </c>
    </row>
    <row r="1273" spans="22:23">
      <c r="V1273" s="4" t="s">
        <v>406</v>
      </c>
      <c r="W1273" s="4" t="s">
        <v>1740</v>
      </c>
    </row>
    <row r="1274" spans="22:23">
      <c r="V1274" s="4" t="s">
        <v>411</v>
      </c>
      <c r="W1274" s="4" t="s">
        <v>1741</v>
      </c>
    </row>
    <row r="1275" spans="22:23">
      <c r="V1275" s="4" t="s">
        <v>411</v>
      </c>
      <c r="W1275" s="4" t="s">
        <v>1742</v>
      </c>
    </row>
    <row r="1276" spans="22:23">
      <c r="V1276" s="4" t="s">
        <v>411</v>
      </c>
      <c r="W1276" s="4" t="s">
        <v>1743</v>
      </c>
    </row>
    <row r="1277" spans="22:23">
      <c r="V1277" s="4" t="s">
        <v>411</v>
      </c>
      <c r="W1277" s="4" t="s">
        <v>1744</v>
      </c>
    </row>
    <row r="1278" spans="22:23">
      <c r="V1278" s="4" t="s">
        <v>411</v>
      </c>
      <c r="W1278" s="4" t="s">
        <v>1745</v>
      </c>
    </row>
    <row r="1279" spans="22:23">
      <c r="V1279" s="4" t="s">
        <v>411</v>
      </c>
      <c r="W1279" s="4" t="s">
        <v>1746</v>
      </c>
    </row>
    <row r="1280" spans="22:23">
      <c r="V1280" s="4" t="s">
        <v>411</v>
      </c>
      <c r="W1280" s="4" t="s">
        <v>1747</v>
      </c>
    </row>
    <row r="1281" spans="22:23">
      <c r="V1281" s="4" t="s">
        <v>411</v>
      </c>
      <c r="W1281" s="4" t="s">
        <v>1748</v>
      </c>
    </row>
    <row r="1282" spans="22:23">
      <c r="V1282" s="4" t="s">
        <v>411</v>
      </c>
      <c r="W1282" s="4" t="s">
        <v>1749</v>
      </c>
    </row>
    <row r="1283" spans="22:23">
      <c r="V1283" s="4" t="s">
        <v>411</v>
      </c>
      <c r="W1283" s="4" t="s">
        <v>1750</v>
      </c>
    </row>
    <row r="1284" spans="22:23">
      <c r="V1284" s="4" t="s">
        <v>411</v>
      </c>
      <c r="W1284" s="4" t="s">
        <v>1751</v>
      </c>
    </row>
    <row r="1285" spans="22:23">
      <c r="V1285" s="4" t="s">
        <v>411</v>
      </c>
      <c r="W1285" s="4" t="s">
        <v>1752</v>
      </c>
    </row>
    <row r="1286" spans="22:23">
      <c r="V1286" s="4" t="s">
        <v>411</v>
      </c>
      <c r="W1286" s="4" t="s">
        <v>1753</v>
      </c>
    </row>
    <row r="1287" spans="22:23">
      <c r="V1287" s="4" t="s">
        <v>411</v>
      </c>
      <c r="W1287" s="4" t="s">
        <v>1754</v>
      </c>
    </row>
    <row r="1288" spans="22:23">
      <c r="V1288" s="4" t="s">
        <v>411</v>
      </c>
      <c r="W1288" s="4" t="s">
        <v>844</v>
      </c>
    </row>
    <row r="1289" spans="22:23">
      <c r="V1289" s="4" t="s">
        <v>411</v>
      </c>
      <c r="W1289" s="4" t="s">
        <v>1755</v>
      </c>
    </row>
    <row r="1290" spans="22:23">
      <c r="V1290" s="4" t="s">
        <v>411</v>
      </c>
      <c r="W1290" s="4" t="s">
        <v>1756</v>
      </c>
    </row>
    <row r="1291" spans="22:23">
      <c r="V1291" s="4" t="s">
        <v>411</v>
      </c>
      <c r="W1291" s="4" t="s">
        <v>1656</v>
      </c>
    </row>
    <row r="1292" spans="22:23">
      <c r="V1292" s="4" t="s">
        <v>411</v>
      </c>
      <c r="W1292" s="4" t="s">
        <v>1757</v>
      </c>
    </row>
    <row r="1293" spans="22:23">
      <c r="V1293" s="4" t="s">
        <v>417</v>
      </c>
      <c r="W1293" s="4" t="s">
        <v>1758</v>
      </c>
    </row>
    <row r="1294" spans="22:23">
      <c r="V1294" s="4" t="s">
        <v>417</v>
      </c>
      <c r="W1294" s="4" t="s">
        <v>1759</v>
      </c>
    </row>
    <row r="1295" spans="22:23">
      <c r="V1295" s="4" t="s">
        <v>417</v>
      </c>
      <c r="W1295" s="4" t="s">
        <v>1760</v>
      </c>
    </row>
    <row r="1296" spans="22:23">
      <c r="V1296" s="4" t="s">
        <v>417</v>
      </c>
      <c r="W1296" s="4" t="s">
        <v>1761</v>
      </c>
    </row>
    <row r="1297" spans="22:23">
      <c r="V1297" s="4" t="s">
        <v>417</v>
      </c>
      <c r="W1297" s="4" t="s">
        <v>1762</v>
      </c>
    </row>
    <row r="1298" spans="22:23">
      <c r="V1298" s="4" t="s">
        <v>417</v>
      </c>
      <c r="W1298" s="4" t="s">
        <v>1763</v>
      </c>
    </row>
    <row r="1299" spans="22:23">
      <c r="V1299" s="4" t="s">
        <v>417</v>
      </c>
      <c r="W1299" s="4" t="s">
        <v>1764</v>
      </c>
    </row>
    <row r="1300" spans="22:23">
      <c r="V1300" s="4" t="s">
        <v>417</v>
      </c>
      <c r="W1300" s="4" t="s">
        <v>1765</v>
      </c>
    </row>
    <row r="1301" spans="22:23">
      <c r="V1301" s="4" t="s">
        <v>417</v>
      </c>
      <c r="W1301" s="4" t="s">
        <v>1766</v>
      </c>
    </row>
    <row r="1302" spans="22:23">
      <c r="V1302" s="4" t="s">
        <v>417</v>
      </c>
      <c r="W1302" s="4" t="s">
        <v>1767</v>
      </c>
    </row>
    <row r="1303" spans="22:23">
      <c r="V1303" s="4" t="s">
        <v>417</v>
      </c>
      <c r="W1303" s="4" t="s">
        <v>1768</v>
      </c>
    </row>
    <row r="1304" spans="22:23">
      <c r="V1304" s="4" t="s">
        <v>417</v>
      </c>
      <c r="W1304" s="4" t="s">
        <v>1029</v>
      </c>
    </row>
    <row r="1305" spans="22:23">
      <c r="V1305" s="4" t="s">
        <v>417</v>
      </c>
      <c r="W1305" s="4" t="s">
        <v>1769</v>
      </c>
    </row>
    <row r="1306" spans="22:23">
      <c r="V1306" s="4" t="s">
        <v>417</v>
      </c>
      <c r="W1306" s="4" t="s">
        <v>1770</v>
      </c>
    </row>
    <row r="1307" spans="22:23">
      <c r="V1307" s="4" t="s">
        <v>417</v>
      </c>
      <c r="W1307" s="4" t="s">
        <v>1771</v>
      </c>
    </row>
    <row r="1308" spans="22:23">
      <c r="V1308" s="4" t="s">
        <v>417</v>
      </c>
      <c r="W1308" s="4" t="s">
        <v>1772</v>
      </c>
    </row>
    <row r="1309" spans="22:23">
      <c r="V1309" s="4" t="s">
        <v>417</v>
      </c>
      <c r="W1309" s="4" t="s">
        <v>1773</v>
      </c>
    </row>
    <row r="1310" spans="22:23">
      <c r="V1310" s="4" t="s">
        <v>417</v>
      </c>
      <c r="W1310" s="4" t="s">
        <v>1774</v>
      </c>
    </row>
    <row r="1311" spans="22:23">
      <c r="V1311" s="4" t="s">
        <v>417</v>
      </c>
      <c r="W1311" s="4" t="s">
        <v>1775</v>
      </c>
    </row>
    <row r="1312" spans="22:23">
      <c r="V1312" s="4" t="s">
        <v>422</v>
      </c>
      <c r="W1312" s="4" t="s">
        <v>1251</v>
      </c>
    </row>
    <row r="1313" spans="22:23">
      <c r="V1313" s="4" t="s">
        <v>422</v>
      </c>
      <c r="W1313" s="4" t="s">
        <v>1776</v>
      </c>
    </row>
    <row r="1314" spans="22:23">
      <c r="V1314" s="4" t="s">
        <v>422</v>
      </c>
      <c r="W1314" s="4" t="s">
        <v>1777</v>
      </c>
    </row>
    <row r="1315" spans="22:23">
      <c r="V1315" s="4" t="s">
        <v>422</v>
      </c>
      <c r="W1315" s="4" t="s">
        <v>1778</v>
      </c>
    </row>
    <row r="1316" spans="22:23">
      <c r="V1316" s="4" t="s">
        <v>422</v>
      </c>
      <c r="W1316" s="4" t="s">
        <v>1779</v>
      </c>
    </row>
    <row r="1317" spans="22:23">
      <c r="V1317" s="4" t="s">
        <v>422</v>
      </c>
      <c r="W1317" s="4" t="s">
        <v>1780</v>
      </c>
    </row>
    <row r="1318" spans="22:23">
      <c r="V1318" s="4" t="s">
        <v>422</v>
      </c>
      <c r="W1318" s="4" t="s">
        <v>1781</v>
      </c>
    </row>
    <row r="1319" spans="22:23">
      <c r="V1319" s="4" t="s">
        <v>422</v>
      </c>
      <c r="W1319" s="4" t="s">
        <v>1782</v>
      </c>
    </row>
    <row r="1320" spans="22:23">
      <c r="V1320" s="4" t="s">
        <v>422</v>
      </c>
      <c r="W1320" s="4" t="s">
        <v>1783</v>
      </c>
    </row>
    <row r="1321" spans="22:23">
      <c r="V1321" s="4" t="s">
        <v>422</v>
      </c>
      <c r="W1321" s="4" t="s">
        <v>1784</v>
      </c>
    </row>
    <row r="1322" spans="22:23">
      <c r="V1322" s="4" t="s">
        <v>422</v>
      </c>
      <c r="W1322" s="4" t="s">
        <v>1785</v>
      </c>
    </row>
    <row r="1323" spans="22:23">
      <c r="V1323" s="4" t="s">
        <v>422</v>
      </c>
      <c r="W1323" s="4" t="s">
        <v>1786</v>
      </c>
    </row>
    <row r="1324" spans="22:23">
      <c r="V1324" s="4" t="s">
        <v>422</v>
      </c>
      <c r="W1324" s="4" t="s">
        <v>1787</v>
      </c>
    </row>
    <row r="1325" spans="22:23">
      <c r="V1325" s="4" t="s">
        <v>422</v>
      </c>
      <c r="W1325" s="4" t="s">
        <v>1788</v>
      </c>
    </row>
    <row r="1326" spans="22:23">
      <c r="V1326" s="4" t="s">
        <v>422</v>
      </c>
      <c r="W1326" s="4" t="s">
        <v>1789</v>
      </c>
    </row>
    <row r="1327" spans="22:23">
      <c r="V1327" s="4" t="s">
        <v>422</v>
      </c>
      <c r="W1327" s="4" t="s">
        <v>1790</v>
      </c>
    </row>
    <row r="1328" spans="22:23">
      <c r="V1328" s="4" t="s">
        <v>422</v>
      </c>
      <c r="W1328" s="4" t="s">
        <v>1791</v>
      </c>
    </row>
    <row r="1329" spans="22:23">
      <c r="V1329" s="4" t="s">
        <v>422</v>
      </c>
      <c r="W1329" s="4" t="s">
        <v>1792</v>
      </c>
    </row>
    <row r="1330" spans="22:23">
      <c r="V1330" s="4" t="s">
        <v>422</v>
      </c>
      <c r="W1330" s="4" t="s">
        <v>1793</v>
      </c>
    </row>
    <row r="1331" spans="22:23">
      <c r="V1331" s="4" t="s">
        <v>422</v>
      </c>
      <c r="W1331" s="4" t="s">
        <v>1794</v>
      </c>
    </row>
    <row r="1332" spans="22:23">
      <c r="V1332" s="4" t="s">
        <v>422</v>
      </c>
      <c r="W1332" s="4" t="s">
        <v>1795</v>
      </c>
    </row>
    <row r="1333" spans="22:23">
      <c r="V1333" s="4" t="s">
        <v>422</v>
      </c>
      <c r="W1333" s="4" t="s">
        <v>1796</v>
      </c>
    </row>
    <row r="1334" spans="22:23">
      <c r="V1334" s="4" t="s">
        <v>422</v>
      </c>
      <c r="W1334" s="4" t="s">
        <v>1797</v>
      </c>
    </row>
    <row r="1335" spans="22:23">
      <c r="V1335" s="4" t="s">
        <v>422</v>
      </c>
      <c r="W1335" s="4" t="s">
        <v>1798</v>
      </c>
    </row>
    <row r="1336" spans="22:23">
      <c r="V1336" s="4" t="s">
        <v>422</v>
      </c>
      <c r="W1336" s="4" t="s">
        <v>1799</v>
      </c>
    </row>
    <row r="1337" spans="22:23">
      <c r="V1337" s="4" t="s">
        <v>422</v>
      </c>
      <c r="W1337" s="4" t="s">
        <v>1800</v>
      </c>
    </row>
    <row r="1338" spans="22:23">
      <c r="V1338" s="4" t="s">
        <v>422</v>
      </c>
      <c r="W1338" s="4" t="s">
        <v>1801</v>
      </c>
    </row>
    <row r="1339" spans="22:23">
      <c r="V1339" s="4" t="s">
        <v>426</v>
      </c>
      <c r="W1339" s="4" t="s">
        <v>676</v>
      </c>
    </row>
    <row r="1340" spans="22:23">
      <c r="V1340" s="4" t="s">
        <v>426</v>
      </c>
      <c r="W1340" s="4" t="s">
        <v>1802</v>
      </c>
    </row>
    <row r="1341" spans="22:23">
      <c r="V1341" s="4" t="s">
        <v>426</v>
      </c>
      <c r="W1341" s="4" t="s">
        <v>1803</v>
      </c>
    </row>
    <row r="1342" spans="22:23">
      <c r="V1342" s="4" t="s">
        <v>426</v>
      </c>
      <c r="W1342" s="4" t="s">
        <v>1804</v>
      </c>
    </row>
    <row r="1343" spans="22:23">
      <c r="V1343" s="4" t="s">
        <v>426</v>
      </c>
      <c r="W1343" s="4" t="s">
        <v>1805</v>
      </c>
    </row>
    <row r="1344" spans="22:23">
      <c r="V1344" s="4" t="s">
        <v>426</v>
      </c>
      <c r="W1344" s="4" t="s">
        <v>1806</v>
      </c>
    </row>
    <row r="1345" spans="22:23">
      <c r="V1345" s="4" t="s">
        <v>426</v>
      </c>
      <c r="W1345" s="4" t="s">
        <v>1381</v>
      </c>
    </row>
    <row r="1346" spans="22:23">
      <c r="V1346" s="4" t="s">
        <v>426</v>
      </c>
      <c r="W1346" s="4" t="s">
        <v>1807</v>
      </c>
    </row>
    <row r="1347" spans="22:23">
      <c r="V1347" s="4" t="s">
        <v>426</v>
      </c>
      <c r="W1347" s="4" t="s">
        <v>1808</v>
      </c>
    </row>
    <row r="1348" spans="22:23">
      <c r="V1348" s="4" t="s">
        <v>426</v>
      </c>
      <c r="W1348" s="4" t="s">
        <v>1809</v>
      </c>
    </row>
    <row r="1349" spans="22:23">
      <c r="V1349" s="4" t="s">
        <v>426</v>
      </c>
      <c r="W1349" s="4" t="s">
        <v>1252</v>
      </c>
    </row>
    <row r="1350" spans="22:23">
      <c r="V1350" s="4" t="s">
        <v>426</v>
      </c>
      <c r="W1350" s="4" t="s">
        <v>1254</v>
      </c>
    </row>
    <row r="1351" spans="22:23">
      <c r="V1351" s="4" t="s">
        <v>426</v>
      </c>
      <c r="W1351" s="4" t="s">
        <v>1810</v>
      </c>
    </row>
    <row r="1352" spans="22:23">
      <c r="V1352" s="4" t="s">
        <v>426</v>
      </c>
      <c r="W1352" s="4" t="s">
        <v>1811</v>
      </c>
    </row>
    <row r="1353" spans="22:23">
      <c r="V1353" s="4" t="s">
        <v>426</v>
      </c>
      <c r="W1353" s="4" t="s">
        <v>678</v>
      </c>
    </row>
    <row r="1354" spans="22:23">
      <c r="V1354" s="4" t="s">
        <v>426</v>
      </c>
      <c r="W1354" s="4" t="s">
        <v>1256</v>
      </c>
    </row>
    <row r="1355" spans="22:23">
      <c r="V1355" s="4" t="s">
        <v>426</v>
      </c>
      <c r="W1355" s="4" t="s">
        <v>1812</v>
      </c>
    </row>
    <row r="1356" spans="22:23">
      <c r="V1356" s="4" t="s">
        <v>426</v>
      </c>
      <c r="W1356" s="4" t="s">
        <v>1260</v>
      </c>
    </row>
    <row r="1357" spans="22:23">
      <c r="V1357" s="4" t="s">
        <v>426</v>
      </c>
      <c r="W1357" s="4" t="s">
        <v>1813</v>
      </c>
    </row>
    <row r="1358" spans="22:23">
      <c r="V1358" s="4" t="s">
        <v>426</v>
      </c>
      <c r="W1358" s="4" t="s">
        <v>1814</v>
      </c>
    </row>
    <row r="1359" spans="22:23">
      <c r="V1359" s="4" t="s">
        <v>426</v>
      </c>
      <c r="W1359" s="4" t="s">
        <v>1815</v>
      </c>
    </row>
    <row r="1360" spans="22:23">
      <c r="V1360" s="4" t="s">
        <v>426</v>
      </c>
      <c r="W1360" s="4" t="s">
        <v>1816</v>
      </c>
    </row>
    <row r="1361" spans="22:23">
      <c r="V1361" s="4" t="s">
        <v>426</v>
      </c>
      <c r="W1361" s="4" t="s">
        <v>1817</v>
      </c>
    </row>
    <row r="1362" spans="22:23">
      <c r="V1362" s="4" t="s">
        <v>430</v>
      </c>
      <c r="W1362" s="4" t="s">
        <v>1818</v>
      </c>
    </row>
    <row r="1363" spans="22:23">
      <c r="V1363" s="4" t="s">
        <v>430</v>
      </c>
      <c r="W1363" s="4" t="s">
        <v>1819</v>
      </c>
    </row>
    <row r="1364" spans="22:23">
      <c r="V1364" s="4" t="s">
        <v>430</v>
      </c>
      <c r="W1364" s="4" t="s">
        <v>1820</v>
      </c>
    </row>
    <row r="1365" spans="22:23">
      <c r="V1365" s="4" t="s">
        <v>430</v>
      </c>
      <c r="W1365" s="4" t="s">
        <v>1821</v>
      </c>
    </row>
    <row r="1366" spans="22:23">
      <c r="V1366" s="4" t="s">
        <v>430</v>
      </c>
      <c r="W1366" s="4" t="s">
        <v>1822</v>
      </c>
    </row>
    <row r="1367" spans="22:23">
      <c r="V1367" s="4" t="s">
        <v>430</v>
      </c>
      <c r="W1367" s="4" t="s">
        <v>1823</v>
      </c>
    </row>
    <row r="1368" spans="22:23">
      <c r="V1368" s="4" t="s">
        <v>430</v>
      </c>
      <c r="W1368" s="4" t="s">
        <v>1824</v>
      </c>
    </row>
    <row r="1369" spans="22:23">
      <c r="V1369" s="4" t="s">
        <v>430</v>
      </c>
      <c r="W1369" s="4" t="s">
        <v>1825</v>
      </c>
    </row>
    <row r="1370" spans="22:23">
      <c r="V1370" s="4" t="s">
        <v>430</v>
      </c>
      <c r="W1370" s="4" t="s">
        <v>1826</v>
      </c>
    </row>
    <row r="1371" spans="22:23">
      <c r="V1371" s="4" t="s">
        <v>430</v>
      </c>
      <c r="W1371" s="4" t="s">
        <v>1827</v>
      </c>
    </row>
    <row r="1372" spans="22:23">
      <c r="V1372" s="4" t="s">
        <v>430</v>
      </c>
      <c r="W1372" s="4" t="s">
        <v>1828</v>
      </c>
    </row>
    <row r="1373" spans="22:23">
      <c r="V1373" s="4" t="s">
        <v>430</v>
      </c>
      <c r="W1373" s="4" t="s">
        <v>1262</v>
      </c>
    </row>
    <row r="1374" spans="22:23">
      <c r="V1374" s="4" t="s">
        <v>430</v>
      </c>
      <c r="W1374" s="4" t="s">
        <v>1829</v>
      </c>
    </row>
    <row r="1375" spans="22:23">
      <c r="V1375" s="4" t="s">
        <v>430</v>
      </c>
      <c r="W1375" s="4" t="s">
        <v>1830</v>
      </c>
    </row>
    <row r="1376" spans="22:23">
      <c r="V1376" s="4" t="s">
        <v>430</v>
      </c>
      <c r="W1376" s="4" t="s">
        <v>1831</v>
      </c>
    </row>
    <row r="1377" spans="22:23">
      <c r="V1377" s="4" t="s">
        <v>430</v>
      </c>
      <c r="W1377" s="4" t="s">
        <v>1832</v>
      </c>
    </row>
    <row r="1378" spans="22:23">
      <c r="V1378" s="4" t="s">
        <v>430</v>
      </c>
      <c r="W1378" s="4" t="s">
        <v>1833</v>
      </c>
    </row>
    <row r="1379" spans="22:23">
      <c r="V1379" s="4" t="s">
        <v>430</v>
      </c>
      <c r="W1379" s="4" t="s">
        <v>1834</v>
      </c>
    </row>
    <row r="1380" spans="22:23">
      <c r="V1380" s="4" t="s">
        <v>430</v>
      </c>
      <c r="W1380" s="4" t="s">
        <v>1835</v>
      </c>
    </row>
    <row r="1381" spans="22:23">
      <c r="V1381" s="4" t="s">
        <v>434</v>
      </c>
      <c r="W1381" s="4" t="s">
        <v>1263</v>
      </c>
    </row>
    <row r="1382" spans="22:23">
      <c r="V1382" s="4" t="s">
        <v>434</v>
      </c>
      <c r="W1382" s="4" t="s">
        <v>1836</v>
      </c>
    </row>
    <row r="1383" spans="22:23">
      <c r="V1383" s="4" t="s">
        <v>434</v>
      </c>
      <c r="W1383" s="4" t="s">
        <v>1837</v>
      </c>
    </row>
    <row r="1384" spans="22:23">
      <c r="V1384" s="4" t="s">
        <v>434</v>
      </c>
      <c r="W1384" s="4" t="s">
        <v>1838</v>
      </c>
    </row>
    <row r="1385" spans="22:23">
      <c r="V1385" s="4" t="s">
        <v>434</v>
      </c>
      <c r="W1385" s="4" t="s">
        <v>1839</v>
      </c>
    </row>
    <row r="1386" spans="22:23">
      <c r="V1386" s="4" t="s">
        <v>434</v>
      </c>
      <c r="W1386" s="4" t="s">
        <v>1840</v>
      </c>
    </row>
    <row r="1387" spans="22:23">
      <c r="V1387" s="4" t="s">
        <v>434</v>
      </c>
      <c r="W1387" s="4" t="s">
        <v>1841</v>
      </c>
    </row>
    <row r="1388" spans="22:23">
      <c r="V1388" s="4" t="s">
        <v>434</v>
      </c>
      <c r="W1388" s="4" t="s">
        <v>1842</v>
      </c>
    </row>
    <row r="1389" spans="22:23">
      <c r="V1389" s="4" t="s">
        <v>434</v>
      </c>
      <c r="W1389" s="4" t="s">
        <v>1843</v>
      </c>
    </row>
    <row r="1390" spans="22:23">
      <c r="V1390" s="4" t="s">
        <v>434</v>
      </c>
      <c r="W1390" s="4" t="s">
        <v>1844</v>
      </c>
    </row>
    <row r="1391" spans="22:23">
      <c r="V1391" s="4" t="s">
        <v>434</v>
      </c>
      <c r="W1391" s="4" t="s">
        <v>1845</v>
      </c>
    </row>
    <row r="1392" spans="22:23">
      <c r="V1392" s="4" t="s">
        <v>434</v>
      </c>
      <c r="W1392" s="4" t="s">
        <v>1846</v>
      </c>
    </row>
    <row r="1393" spans="22:23">
      <c r="V1393" s="4" t="s">
        <v>434</v>
      </c>
      <c r="W1393" s="4" t="s">
        <v>1847</v>
      </c>
    </row>
    <row r="1394" spans="22:23">
      <c r="V1394" s="4" t="s">
        <v>434</v>
      </c>
      <c r="W1394" s="4" t="s">
        <v>1848</v>
      </c>
    </row>
    <row r="1395" spans="22:23">
      <c r="V1395" s="4" t="s">
        <v>434</v>
      </c>
      <c r="W1395" s="4" t="s">
        <v>1849</v>
      </c>
    </row>
    <row r="1396" spans="22:23">
      <c r="V1396" s="4" t="s">
        <v>434</v>
      </c>
      <c r="W1396" s="4" t="s">
        <v>1850</v>
      </c>
    </row>
    <row r="1397" spans="22:23">
      <c r="V1397" s="4" t="s">
        <v>434</v>
      </c>
      <c r="W1397" s="4" t="s">
        <v>1851</v>
      </c>
    </row>
    <row r="1398" spans="22:23">
      <c r="V1398" s="4" t="s">
        <v>434</v>
      </c>
      <c r="W1398" s="4" t="s">
        <v>1852</v>
      </c>
    </row>
    <row r="1399" spans="22:23">
      <c r="V1399" s="4" t="s">
        <v>434</v>
      </c>
      <c r="W1399" s="4" t="s">
        <v>1853</v>
      </c>
    </row>
    <row r="1400" spans="22:23">
      <c r="V1400" s="4" t="s">
        <v>434</v>
      </c>
      <c r="W1400" s="4" t="s">
        <v>1854</v>
      </c>
    </row>
    <row r="1401" spans="22:23">
      <c r="V1401" s="4" t="s">
        <v>434</v>
      </c>
      <c r="W1401" s="4" t="s">
        <v>1855</v>
      </c>
    </row>
    <row r="1402" spans="22:23">
      <c r="V1402" s="4" t="s">
        <v>434</v>
      </c>
      <c r="W1402" s="4" t="s">
        <v>1856</v>
      </c>
    </row>
    <row r="1403" spans="22:23">
      <c r="V1403" s="4" t="s">
        <v>434</v>
      </c>
      <c r="W1403" s="4" t="s">
        <v>1857</v>
      </c>
    </row>
    <row r="1404" spans="22:23">
      <c r="V1404" s="4" t="s">
        <v>434</v>
      </c>
      <c r="W1404" s="4" t="s">
        <v>1858</v>
      </c>
    </row>
    <row r="1405" spans="22:23">
      <c r="V1405" s="4" t="s">
        <v>438</v>
      </c>
      <c r="W1405" s="4" t="s">
        <v>1265</v>
      </c>
    </row>
    <row r="1406" spans="22:23">
      <c r="V1406" s="4" t="s">
        <v>438</v>
      </c>
      <c r="W1406" s="4" t="s">
        <v>1859</v>
      </c>
    </row>
    <row r="1407" spans="22:23">
      <c r="V1407" s="4" t="s">
        <v>438</v>
      </c>
      <c r="W1407" s="4" t="s">
        <v>1860</v>
      </c>
    </row>
    <row r="1408" spans="22:23">
      <c r="V1408" s="4" t="s">
        <v>438</v>
      </c>
      <c r="W1408" s="4" t="s">
        <v>1861</v>
      </c>
    </row>
    <row r="1409" spans="22:23">
      <c r="V1409" s="4" t="s">
        <v>438</v>
      </c>
      <c r="W1409" s="4" t="s">
        <v>1862</v>
      </c>
    </row>
    <row r="1410" spans="22:23">
      <c r="V1410" s="4" t="s">
        <v>438</v>
      </c>
      <c r="W1410" s="4" t="s">
        <v>1863</v>
      </c>
    </row>
    <row r="1411" spans="22:23">
      <c r="V1411" s="4" t="s">
        <v>438</v>
      </c>
      <c r="W1411" s="4" t="s">
        <v>1864</v>
      </c>
    </row>
    <row r="1412" spans="22:23">
      <c r="V1412" s="4" t="s">
        <v>438</v>
      </c>
      <c r="W1412" s="4" t="s">
        <v>1865</v>
      </c>
    </row>
    <row r="1413" spans="22:23">
      <c r="V1413" s="4" t="s">
        <v>438</v>
      </c>
      <c r="W1413" s="4" t="s">
        <v>1866</v>
      </c>
    </row>
    <row r="1414" spans="22:23">
      <c r="V1414" s="4" t="s">
        <v>438</v>
      </c>
      <c r="W1414" s="4" t="s">
        <v>1867</v>
      </c>
    </row>
    <row r="1415" spans="22:23">
      <c r="V1415" s="4" t="s">
        <v>438</v>
      </c>
      <c r="W1415" s="4" t="s">
        <v>1868</v>
      </c>
    </row>
    <row r="1416" spans="22:23">
      <c r="V1416" s="4" t="s">
        <v>438</v>
      </c>
      <c r="W1416" s="4" t="s">
        <v>1869</v>
      </c>
    </row>
    <row r="1417" spans="22:23">
      <c r="V1417" s="4" t="s">
        <v>438</v>
      </c>
      <c r="W1417" s="4" t="s">
        <v>1870</v>
      </c>
    </row>
    <row r="1418" spans="22:23">
      <c r="V1418" s="4" t="s">
        <v>438</v>
      </c>
      <c r="W1418" s="4" t="s">
        <v>1871</v>
      </c>
    </row>
    <row r="1419" spans="22:23">
      <c r="V1419" s="4" t="s">
        <v>438</v>
      </c>
      <c r="W1419" s="4" t="s">
        <v>1872</v>
      </c>
    </row>
    <row r="1420" spans="22:23">
      <c r="V1420" s="4" t="s">
        <v>438</v>
      </c>
      <c r="W1420" s="4" t="s">
        <v>1873</v>
      </c>
    </row>
    <row r="1421" spans="22:23">
      <c r="V1421" s="4" t="s">
        <v>438</v>
      </c>
      <c r="W1421" s="4" t="s">
        <v>1874</v>
      </c>
    </row>
    <row r="1422" spans="22:23">
      <c r="V1422" s="4" t="s">
        <v>442</v>
      </c>
      <c r="W1422" s="4" t="s">
        <v>1875</v>
      </c>
    </row>
    <row r="1423" spans="22:23">
      <c r="V1423" s="4" t="s">
        <v>442</v>
      </c>
      <c r="W1423" s="4" t="s">
        <v>1876</v>
      </c>
    </row>
    <row r="1424" spans="22:23">
      <c r="V1424" s="4" t="s">
        <v>442</v>
      </c>
      <c r="W1424" s="4" t="s">
        <v>1877</v>
      </c>
    </row>
    <row r="1425" spans="22:23">
      <c r="V1425" s="4" t="s">
        <v>442</v>
      </c>
      <c r="W1425" s="4" t="s">
        <v>1878</v>
      </c>
    </row>
    <row r="1426" spans="22:23">
      <c r="V1426" s="4" t="s">
        <v>442</v>
      </c>
      <c r="W1426" s="4" t="s">
        <v>1879</v>
      </c>
    </row>
    <row r="1427" spans="22:23">
      <c r="V1427" s="4" t="s">
        <v>442</v>
      </c>
      <c r="W1427" s="4" t="s">
        <v>1880</v>
      </c>
    </row>
    <row r="1428" spans="22:23">
      <c r="V1428" s="4" t="s">
        <v>442</v>
      </c>
      <c r="W1428" s="4" t="s">
        <v>1881</v>
      </c>
    </row>
    <row r="1429" spans="22:23">
      <c r="V1429" s="4" t="s">
        <v>442</v>
      </c>
      <c r="W1429" s="4" t="s">
        <v>1882</v>
      </c>
    </row>
    <row r="1430" spans="22:23">
      <c r="V1430" s="4" t="s">
        <v>442</v>
      </c>
      <c r="W1430" s="4" t="s">
        <v>1883</v>
      </c>
    </row>
    <row r="1431" spans="22:23">
      <c r="V1431" s="4" t="s">
        <v>442</v>
      </c>
      <c r="W1431" s="4" t="s">
        <v>1884</v>
      </c>
    </row>
    <row r="1432" spans="22:23">
      <c r="V1432" s="4" t="s">
        <v>442</v>
      </c>
      <c r="W1432" s="4" t="s">
        <v>1885</v>
      </c>
    </row>
    <row r="1433" spans="22:23">
      <c r="V1433" s="4" t="s">
        <v>442</v>
      </c>
      <c r="W1433" s="4" t="s">
        <v>1886</v>
      </c>
    </row>
    <row r="1434" spans="22:23">
      <c r="V1434" s="4" t="s">
        <v>442</v>
      </c>
      <c r="W1434" s="4" t="s">
        <v>1887</v>
      </c>
    </row>
    <row r="1435" spans="22:23">
      <c r="V1435" s="4" t="s">
        <v>442</v>
      </c>
      <c r="W1435" s="4" t="s">
        <v>443</v>
      </c>
    </row>
    <row r="1436" spans="22:23">
      <c r="V1436" s="4" t="s">
        <v>442</v>
      </c>
      <c r="W1436" s="4" t="s">
        <v>1888</v>
      </c>
    </row>
    <row r="1437" spans="22:23">
      <c r="V1437" s="4" t="s">
        <v>442</v>
      </c>
      <c r="W1437" s="4" t="s">
        <v>1889</v>
      </c>
    </row>
    <row r="1438" spans="22:23">
      <c r="V1438" s="4" t="s">
        <v>442</v>
      </c>
      <c r="W1438" s="4" t="s">
        <v>1890</v>
      </c>
    </row>
    <row r="1439" spans="22:23">
      <c r="V1439" s="4" t="s">
        <v>442</v>
      </c>
      <c r="W1439" s="4" t="s">
        <v>1891</v>
      </c>
    </row>
    <row r="1440" spans="22:23">
      <c r="V1440" s="4" t="s">
        <v>442</v>
      </c>
      <c r="W1440" s="4" t="s">
        <v>1892</v>
      </c>
    </row>
    <row r="1441" spans="22:23">
      <c r="V1441" s="4" t="s">
        <v>442</v>
      </c>
      <c r="W1441" s="4" t="s">
        <v>1893</v>
      </c>
    </row>
    <row r="1442" spans="22:23">
      <c r="V1442" s="4" t="s">
        <v>446</v>
      </c>
      <c r="W1442" s="4" t="s">
        <v>1894</v>
      </c>
    </row>
    <row r="1443" spans="22:23">
      <c r="V1443" s="4" t="s">
        <v>446</v>
      </c>
      <c r="W1443" s="4" t="s">
        <v>1895</v>
      </c>
    </row>
    <row r="1444" spans="22:23">
      <c r="V1444" s="4" t="s">
        <v>446</v>
      </c>
      <c r="W1444" s="4" t="s">
        <v>1896</v>
      </c>
    </row>
    <row r="1445" spans="22:23">
      <c r="V1445" s="4" t="s">
        <v>446</v>
      </c>
      <c r="W1445" s="4" t="s">
        <v>1897</v>
      </c>
    </row>
    <row r="1446" spans="22:23">
      <c r="V1446" s="4" t="s">
        <v>446</v>
      </c>
      <c r="W1446" s="4" t="s">
        <v>1898</v>
      </c>
    </row>
    <row r="1447" spans="22:23">
      <c r="V1447" s="4" t="s">
        <v>446</v>
      </c>
      <c r="W1447" s="4" t="s">
        <v>1899</v>
      </c>
    </row>
    <row r="1448" spans="22:23">
      <c r="V1448" s="4" t="s">
        <v>446</v>
      </c>
      <c r="W1448" s="4" t="s">
        <v>1900</v>
      </c>
    </row>
    <row r="1449" spans="22:23">
      <c r="V1449" s="4" t="s">
        <v>446</v>
      </c>
      <c r="W1449" s="4" t="s">
        <v>1901</v>
      </c>
    </row>
    <row r="1450" spans="22:23">
      <c r="V1450" s="4" t="s">
        <v>446</v>
      </c>
      <c r="W1450" s="4" t="s">
        <v>1902</v>
      </c>
    </row>
    <row r="1451" spans="22:23">
      <c r="V1451" s="4" t="s">
        <v>446</v>
      </c>
      <c r="W1451" s="4" t="s">
        <v>1903</v>
      </c>
    </row>
    <row r="1452" spans="22:23">
      <c r="V1452" s="4" t="s">
        <v>446</v>
      </c>
      <c r="W1452" s="4" t="s">
        <v>1904</v>
      </c>
    </row>
    <row r="1453" spans="22:23">
      <c r="V1453" s="4" t="s">
        <v>446</v>
      </c>
      <c r="W1453" s="4" t="s">
        <v>1905</v>
      </c>
    </row>
    <row r="1454" spans="22:23">
      <c r="V1454" s="4" t="s">
        <v>446</v>
      </c>
      <c r="W1454" s="4" t="s">
        <v>1906</v>
      </c>
    </row>
    <row r="1455" spans="22:23">
      <c r="V1455" s="4" t="s">
        <v>446</v>
      </c>
      <c r="W1455" s="4" t="s">
        <v>1907</v>
      </c>
    </row>
    <row r="1456" spans="22:23">
      <c r="V1456" s="4" t="s">
        <v>446</v>
      </c>
      <c r="W1456" s="4" t="s">
        <v>1908</v>
      </c>
    </row>
    <row r="1457" spans="22:23">
      <c r="V1457" s="4" t="s">
        <v>446</v>
      </c>
      <c r="W1457" s="4" t="s">
        <v>1909</v>
      </c>
    </row>
    <row r="1458" spans="22:23">
      <c r="V1458" s="4" t="s">
        <v>446</v>
      </c>
      <c r="W1458" s="4" t="s">
        <v>1910</v>
      </c>
    </row>
    <row r="1459" spans="22:23">
      <c r="V1459" s="4" t="s">
        <v>446</v>
      </c>
      <c r="W1459" s="4" t="s">
        <v>1911</v>
      </c>
    </row>
    <row r="1460" spans="22:23">
      <c r="V1460" s="4" t="s">
        <v>446</v>
      </c>
      <c r="W1460" s="4" t="s">
        <v>1912</v>
      </c>
    </row>
    <row r="1461" spans="22:23">
      <c r="V1461" s="4" t="s">
        <v>446</v>
      </c>
      <c r="W1461" s="4" t="s">
        <v>1913</v>
      </c>
    </row>
    <row r="1462" spans="22:23">
      <c r="V1462" s="4" t="s">
        <v>446</v>
      </c>
      <c r="W1462" s="4" t="s">
        <v>1914</v>
      </c>
    </row>
    <row r="1463" spans="22:23">
      <c r="V1463" s="4" t="s">
        <v>446</v>
      </c>
      <c r="W1463" s="4" t="s">
        <v>1915</v>
      </c>
    </row>
    <row r="1464" spans="22:23">
      <c r="V1464" s="4" t="s">
        <v>446</v>
      </c>
      <c r="W1464" s="4" t="s">
        <v>1916</v>
      </c>
    </row>
    <row r="1465" spans="22:23">
      <c r="V1465" s="4" t="s">
        <v>446</v>
      </c>
      <c r="W1465" s="4" t="s">
        <v>1917</v>
      </c>
    </row>
    <row r="1466" spans="22:23">
      <c r="V1466" s="4" t="s">
        <v>446</v>
      </c>
      <c r="W1466" s="4" t="s">
        <v>1918</v>
      </c>
    </row>
    <row r="1467" spans="22:23">
      <c r="V1467" s="4" t="s">
        <v>446</v>
      </c>
      <c r="W1467" s="4" t="s">
        <v>1919</v>
      </c>
    </row>
    <row r="1468" spans="22:23">
      <c r="V1468" s="4" t="s">
        <v>446</v>
      </c>
      <c r="W1468" s="4" t="s">
        <v>1920</v>
      </c>
    </row>
    <row r="1469" spans="22:23">
      <c r="V1469" s="4" t="s">
        <v>446</v>
      </c>
      <c r="W1469" s="4" t="s">
        <v>1921</v>
      </c>
    </row>
    <row r="1470" spans="22:23">
      <c r="V1470" s="4" t="s">
        <v>446</v>
      </c>
      <c r="W1470" s="4" t="s">
        <v>1922</v>
      </c>
    </row>
    <row r="1471" spans="22:23">
      <c r="V1471" s="4" t="s">
        <v>446</v>
      </c>
      <c r="W1471" s="4" t="s">
        <v>1923</v>
      </c>
    </row>
    <row r="1472" spans="22:23">
      <c r="V1472" s="4" t="s">
        <v>446</v>
      </c>
      <c r="W1472" s="4" t="s">
        <v>1924</v>
      </c>
    </row>
    <row r="1473" spans="22:23">
      <c r="V1473" s="4" t="s">
        <v>446</v>
      </c>
      <c r="W1473" s="4" t="s">
        <v>1925</v>
      </c>
    </row>
    <row r="1474" spans="22:23">
      <c r="V1474" s="4" t="s">
        <v>446</v>
      </c>
      <c r="W1474" s="4" t="s">
        <v>1926</v>
      </c>
    </row>
    <row r="1475" spans="22:23">
      <c r="V1475" s="4" t="s">
        <v>446</v>
      </c>
      <c r="W1475" s="4" t="s">
        <v>1927</v>
      </c>
    </row>
    <row r="1476" spans="22:23">
      <c r="V1476" s="4" t="s">
        <v>451</v>
      </c>
      <c r="W1476" s="4" t="s">
        <v>1267</v>
      </c>
    </row>
    <row r="1477" spans="22:23">
      <c r="V1477" s="4" t="s">
        <v>451</v>
      </c>
      <c r="W1477" s="4" t="s">
        <v>1928</v>
      </c>
    </row>
    <row r="1478" spans="22:23">
      <c r="V1478" s="4" t="s">
        <v>451</v>
      </c>
      <c r="W1478" s="4" t="s">
        <v>1929</v>
      </c>
    </row>
    <row r="1479" spans="22:23">
      <c r="V1479" s="4" t="s">
        <v>451</v>
      </c>
      <c r="W1479" s="4" t="s">
        <v>1930</v>
      </c>
    </row>
    <row r="1480" spans="22:23">
      <c r="V1480" s="4" t="s">
        <v>451</v>
      </c>
      <c r="W1480" s="4" t="s">
        <v>1931</v>
      </c>
    </row>
    <row r="1481" spans="22:23">
      <c r="V1481" s="4" t="s">
        <v>451</v>
      </c>
      <c r="W1481" s="4" t="s">
        <v>1268</v>
      </c>
    </row>
    <row r="1482" spans="22:23">
      <c r="V1482" s="4" t="s">
        <v>451</v>
      </c>
      <c r="W1482" s="4" t="s">
        <v>1932</v>
      </c>
    </row>
    <row r="1483" spans="22:23">
      <c r="V1483" s="4" t="s">
        <v>451</v>
      </c>
      <c r="W1483" s="4" t="s">
        <v>1933</v>
      </c>
    </row>
    <row r="1484" spans="22:23">
      <c r="V1484" s="4" t="s">
        <v>451</v>
      </c>
      <c r="W1484" s="4" t="s">
        <v>1934</v>
      </c>
    </row>
    <row r="1485" spans="22:23">
      <c r="V1485" s="4" t="s">
        <v>451</v>
      </c>
      <c r="W1485" s="4" t="s">
        <v>1935</v>
      </c>
    </row>
    <row r="1486" spans="22:23">
      <c r="V1486" s="4" t="s">
        <v>451</v>
      </c>
      <c r="W1486" s="4" t="s">
        <v>1936</v>
      </c>
    </row>
    <row r="1487" spans="22:23">
      <c r="V1487" s="4" t="s">
        <v>451</v>
      </c>
      <c r="W1487" s="4" t="s">
        <v>1937</v>
      </c>
    </row>
    <row r="1488" spans="22:23">
      <c r="V1488" s="4" t="s">
        <v>451</v>
      </c>
      <c r="W1488" s="4" t="s">
        <v>1938</v>
      </c>
    </row>
    <row r="1489" spans="22:23">
      <c r="V1489" s="4" t="s">
        <v>451</v>
      </c>
      <c r="W1489" s="4" t="s">
        <v>1939</v>
      </c>
    </row>
    <row r="1490" spans="22:23">
      <c r="V1490" s="4" t="s">
        <v>451</v>
      </c>
      <c r="W1490" s="4" t="s">
        <v>1940</v>
      </c>
    </row>
    <row r="1491" spans="22:23">
      <c r="V1491" s="4" t="s">
        <v>451</v>
      </c>
      <c r="W1491" s="4" t="s">
        <v>1270</v>
      </c>
    </row>
    <row r="1492" spans="22:23">
      <c r="V1492" s="4" t="s">
        <v>451</v>
      </c>
      <c r="W1492" s="4" t="s">
        <v>1941</v>
      </c>
    </row>
    <row r="1493" spans="22:23">
      <c r="V1493" s="4" t="s">
        <v>451</v>
      </c>
      <c r="W1493" s="4" t="s">
        <v>946</v>
      </c>
    </row>
    <row r="1494" spans="22:23">
      <c r="V1494" s="4" t="s">
        <v>451</v>
      </c>
      <c r="W1494" s="4" t="s">
        <v>1942</v>
      </c>
    </row>
    <row r="1495" spans="22:23">
      <c r="V1495" s="4" t="s">
        <v>451</v>
      </c>
      <c r="W1495" s="4" t="s">
        <v>948</v>
      </c>
    </row>
    <row r="1496" spans="22:23">
      <c r="V1496" s="4" t="s">
        <v>451</v>
      </c>
      <c r="W1496" s="4" t="s">
        <v>1272</v>
      </c>
    </row>
    <row r="1497" spans="22:23">
      <c r="V1497" s="4" t="s">
        <v>451</v>
      </c>
      <c r="W1497" s="4" t="s">
        <v>950</v>
      </c>
    </row>
    <row r="1498" spans="22:23">
      <c r="V1498" s="4" t="s">
        <v>451</v>
      </c>
      <c r="W1498" s="4" t="s">
        <v>1943</v>
      </c>
    </row>
    <row r="1499" spans="22:23">
      <c r="V1499" s="4" t="s">
        <v>451</v>
      </c>
      <c r="W1499" s="4" t="s">
        <v>1944</v>
      </c>
    </row>
    <row r="1500" spans="22:23">
      <c r="V1500" s="4" t="s">
        <v>451</v>
      </c>
      <c r="W1500" s="4" t="s">
        <v>1945</v>
      </c>
    </row>
    <row r="1501" spans="22:23">
      <c r="V1501" s="4" t="s">
        <v>451</v>
      </c>
      <c r="W1501" s="4" t="s">
        <v>1946</v>
      </c>
    </row>
    <row r="1502" spans="22:23">
      <c r="V1502" s="4" t="s">
        <v>451</v>
      </c>
      <c r="W1502" s="4" t="s">
        <v>1947</v>
      </c>
    </row>
    <row r="1503" spans="22:23">
      <c r="V1503" s="4" t="s">
        <v>451</v>
      </c>
      <c r="W1503" s="4" t="s">
        <v>952</v>
      </c>
    </row>
    <row r="1504" spans="22:23">
      <c r="V1504" s="4" t="s">
        <v>1948</v>
      </c>
      <c r="W1504" s="4" t="s">
        <v>1949</v>
      </c>
    </row>
    <row r="1505" spans="22:23">
      <c r="V1505" s="4" t="s">
        <v>451</v>
      </c>
      <c r="W1505" s="4" t="s">
        <v>1950</v>
      </c>
    </row>
    <row r="1506" spans="22:23">
      <c r="V1506" s="4" t="s">
        <v>451</v>
      </c>
      <c r="W1506" s="4" t="s">
        <v>1951</v>
      </c>
    </row>
    <row r="1507" spans="22:23">
      <c r="V1507" s="4" t="s">
        <v>451</v>
      </c>
      <c r="W1507" s="4" t="s">
        <v>1952</v>
      </c>
    </row>
    <row r="1508" spans="22:23">
      <c r="V1508" s="4" t="s">
        <v>451</v>
      </c>
      <c r="W1508" s="4" t="s">
        <v>1953</v>
      </c>
    </row>
    <row r="1509" spans="22:23">
      <c r="V1509" s="4" t="s">
        <v>451</v>
      </c>
      <c r="W1509" s="4" t="s">
        <v>1954</v>
      </c>
    </row>
    <row r="1510" spans="22:23">
      <c r="V1510" s="4" t="s">
        <v>451</v>
      </c>
      <c r="W1510" s="4" t="s">
        <v>1955</v>
      </c>
    </row>
    <row r="1511" spans="22:23">
      <c r="V1511" s="4" t="s">
        <v>451</v>
      </c>
      <c r="W1511" s="4" t="s">
        <v>956</v>
      </c>
    </row>
    <row r="1512" spans="22:23">
      <c r="V1512" s="4" t="s">
        <v>451</v>
      </c>
      <c r="W1512" s="4" t="s">
        <v>1956</v>
      </c>
    </row>
    <row r="1513" spans="22:23">
      <c r="V1513" s="4" t="s">
        <v>451</v>
      </c>
      <c r="W1513" s="4" t="s">
        <v>1957</v>
      </c>
    </row>
    <row r="1514" spans="22:23">
      <c r="V1514" s="4" t="s">
        <v>451</v>
      </c>
      <c r="W1514" s="4" t="s">
        <v>1958</v>
      </c>
    </row>
    <row r="1515" spans="22:23">
      <c r="V1515" s="4" t="s">
        <v>451</v>
      </c>
      <c r="W1515" s="4" t="s">
        <v>1959</v>
      </c>
    </row>
    <row r="1516" spans="22:23">
      <c r="V1516" s="4" t="s">
        <v>451</v>
      </c>
      <c r="W1516" s="4" t="s">
        <v>1960</v>
      </c>
    </row>
    <row r="1517" spans="22:23">
      <c r="V1517" s="4" t="s">
        <v>451</v>
      </c>
      <c r="W1517" s="4" t="s">
        <v>1961</v>
      </c>
    </row>
    <row r="1518" spans="22:23">
      <c r="V1518" s="4" t="s">
        <v>451</v>
      </c>
      <c r="W1518" s="4" t="s">
        <v>1962</v>
      </c>
    </row>
    <row r="1519" spans="22:23">
      <c r="V1519" s="4" t="s">
        <v>451</v>
      </c>
      <c r="W1519" s="4" t="s">
        <v>1963</v>
      </c>
    </row>
    <row r="1520" spans="22:23">
      <c r="V1520" s="4" t="s">
        <v>451</v>
      </c>
      <c r="W1520" s="4" t="s">
        <v>1964</v>
      </c>
    </row>
    <row r="1521" spans="22:23">
      <c r="V1521" s="4" t="s">
        <v>451</v>
      </c>
      <c r="W1521" s="4" t="s">
        <v>1965</v>
      </c>
    </row>
    <row r="1522" spans="22:23">
      <c r="V1522" s="4" t="s">
        <v>451</v>
      </c>
      <c r="W1522" s="4" t="s">
        <v>1966</v>
      </c>
    </row>
    <row r="1523" spans="22:23">
      <c r="V1523" s="4" t="s">
        <v>451</v>
      </c>
      <c r="W1523" s="4" t="s">
        <v>1727</v>
      </c>
    </row>
    <row r="1524" spans="22:23">
      <c r="V1524" s="4" t="s">
        <v>451</v>
      </c>
      <c r="W1524" s="4" t="s">
        <v>1967</v>
      </c>
    </row>
    <row r="1525" spans="22:23">
      <c r="V1525" s="4" t="s">
        <v>451</v>
      </c>
      <c r="W1525" s="4" t="s">
        <v>1968</v>
      </c>
    </row>
    <row r="1526" spans="22:23">
      <c r="V1526" s="4" t="s">
        <v>451</v>
      </c>
      <c r="W1526" s="4" t="s">
        <v>1969</v>
      </c>
    </row>
    <row r="1527" spans="22:23">
      <c r="V1527" s="4" t="s">
        <v>451</v>
      </c>
      <c r="W1527" s="4" t="s">
        <v>953</v>
      </c>
    </row>
    <row r="1528" spans="22:23">
      <c r="V1528" s="4" t="s">
        <v>451</v>
      </c>
      <c r="W1528" s="4" t="s">
        <v>1970</v>
      </c>
    </row>
    <row r="1529" spans="22:23">
      <c r="V1529" s="4" t="s">
        <v>451</v>
      </c>
      <c r="W1529" s="4" t="s">
        <v>1971</v>
      </c>
    </row>
    <row r="1530" spans="22:23">
      <c r="V1530" s="4" t="s">
        <v>451</v>
      </c>
      <c r="W1530" s="4" t="s">
        <v>1972</v>
      </c>
    </row>
    <row r="1531" spans="22:23">
      <c r="V1531" s="4" t="s">
        <v>451</v>
      </c>
      <c r="W1531" s="4" t="s">
        <v>1973</v>
      </c>
    </row>
    <row r="1532" spans="22:23">
      <c r="V1532" s="4" t="s">
        <v>451</v>
      </c>
      <c r="W1532" s="4" t="s">
        <v>1974</v>
      </c>
    </row>
    <row r="1533" spans="22:23">
      <c r="V1533" s="4" t="s">
        <v>451</v>
      </c>
      <c r="W1533" s="4" t="s">
        <v>1975</v>
      </c>
    </row>
    <row r="1534" spans="22:23">
      <c r="V1534" s="4" t="s">
        <v>451</v>
      </c>
      <c r="W1534" s="4" t="s">
        <v>1976</v>
      </c>
    </row>
    <row r="1535" spans="22:23">
      <c r="V1535" s="4" t="s">
        <v>451</v>
      </c>
      <c r="W1535" s="4" t="s">
        <v>1977</v>
      </c>
    </row>
    <row r="1536" spans="22:23">
      <c r="V1536" s="4" t="s">
        <v>455</v>
      </c>
      <c r="W1536" s="4" t="s">
        <v>1978</v>
      </c>
    </row>
    <row r="1537" spans="22:23">
      <c r="V1537" s="4" t="s">
        <v>455</v>
      </c>
      <c r="W1537" s="4" t="s">
        <v>1979</v>
      </c>
    </row>
    <row r="1538" spans="22:23">
      <c r="V1538" s="4" t="s">
        <v>455</v>
      </c>
      <c r="W1538" s="4" t="s">
        <v>1980</v>
      </c>
    </row>
    <row r="1539" spans="22:23">
      <c r="V1539" s="4" t="s">
        <v>455</v>
      </c>
      <c r="W1539" s="4" t="s">
        <v>1981</v>
      </c>
    </row>
    <row r="1540" spans="22:23">
      <c r="V1540" s="4" t="s">
        <v>455</v>
      </c>
      <c r="W1540" s="4" t="s">
        <v>1982</v>
      </c>
    </row>
    <row r="1541" spans="22:23">
      <c r="V1541" s="4" t="s">
        <v>455</v>
      </c>
      <c r="W1541" s="4" t="s">
        <v>1983</v>
      </c>
    </row>
    <row r="1542" spans="22:23">
      <c r="V1542" s="4" t="s">
        <v>455</v>
      </c>
      <c r="W1542" s="4" t="s">
        <v>1984</v>
      </c>
    </row>
    <row r="1543" spans="22:23">
      <c r="V1543" s="4" t="s">
        <v>455</v>
      </c>
      <c r="W1543" s="4" t="s">
        <v>1985</v>
      </c>
    </row>
    <row r="1544" spans="22:23">
      <c r="V1544" s="4" t="s">
        <v>455</v>
      </c>
      <c r="W1544" s="4" t="s">
        <v>1986</v>
      </c>
    </row>
    <row r="1545" spans="22:23">
      <c r="V1545" s="4" t="s">
        <v>455</v>
      </c>
      <c r="W1545" s="4" t="s">
        <v>1987</v>
      </c>
    </row>
    <row r="1546" spans="22:23">
      <c r="V1546" s="4" t="s">
        <v>455</v>
      </c>
      <c r="W1546" s="4" t="s">
        <v>1988</v>
      </c>
    </row>
    <row r="1547" spans="22:23">
      <c r="V1547" s="4" t="s">
        <v>455</v>
      </c>
      <c r="W1547" s="4" t="s">
        <v>1989</v>
      </c>
    </row>
    <row r="1548" spans="22:23">
      <c r="V1548" s="4" t="s">
        <v>455</v>
      </c>
      <c r="W1548" s="4" t="s">
        <v>1990</v>
      </c>
    </row>
    <row r="1549" spans="22:23">
      <c r="V1549" s="4" t="s">
        <v>455</v>
      </c>
      <c r="W1549" s="4" t="s">
        <v>1991</v>
      </c>
    </row>
    <row r="1550" spans="22:23">
      <c r="V1550" s="4" t="s">
        <v>455</v>
      </c>
      <c r="W1550" s="4" t="s">
        <v>1992</v>
      </c>
    </row>
    <row r="1551" spans="22:23">
      <c r="V1551" s="4" t="s">
        <v>455</v>
      </c>
      <c r="W1551" s="4" t="s">
        <v>1993</v>
      </c>
    </row>
    <row r="1552" spans="22:23">
      <c r="V1552" s="4" t="s">
        <v>455</v>
      </c>
      <c r="W1552" s="4" t="s">
        <v>1994</v>
      </c>
    </row>
    <row r="1553" spans="22:23">
      <c r="V1553" s="4" t="s">
        <v>455</v>
      </c>
      <c r="W1553" s="4" t="s">
        <v>1995</v>
      </c>
    </row>
    <row r="1554" spans="22:23">
      <c r="V1554" s="4" t="s">
        <v>455</v>
      </c>
      <c r="W1554" s="4" t="s">
        <v>1996</v>
      </c>
    </row>
    <row r="1555" spans="22:23">
      <c r="V1555" s="4" t="s">
        <v>455</v>
      </c>
      <c r="W1555" s="4" t="s">
        <v>1997</v>
      </c>
    </row>
    <row r="1556" spans="22:23">
      <c r="V1556" s="4" t="s">
        <v>459</v>
      </c>
      <c r="W1556" s="4" t="s">
        <v>1274</v>
      </c>
    </row>
    <row r="1557" spans="22:23">
      <c r="V1557" s="4" t="s">
        <v>459</v>
      </c>
      <c r="W1557" s="4" t="s">
        <v>1998</v>
      </c>
    </row>
    <row r="1558" spans="22:23">
      <c r="V1558" s="4" t="s">
        <v>459</v>
      </c>
      <c r="W1558" s="4" t="s">
        <v>1999</v>
      </c>
    </row>
    <row r="1559" spans="22:23">
      <c r="V1559" s="4" t="s">
        <v>459</v>
      </c>
      <c r="W1559" s="4" t="s">
        <v>2000</v>
      </c>
    </row>
    <row r="1560" spans="22:23">
      <c r="V1560" s="4" t="s">
        <v>459</v>
      </c>
      <c r="W1560" s="4" t="s">
        <v>2001</v>
      </c>
    </row>
    <row r="1561" spans="22:23">
      <c r="V1561" s="4" t="s">
        <v>459</v>
      </c>
      <c r="W1561" s="4" t="s">
        <v>2002</v>
      </c>
    </row>
    <row r="1562" spans="22:23">
      <c r="V1562" s="4" t="s">
        <v>459</v>
      </c>
      <c r="W1562" s="4" t="s">
        <v>2003</v>
      </c>
    </row>
    <row r="1563" spans="22:23">
      <c r="V1563" s="4" t="s">
        <v>459</v>
      </c>
      <c r="W1563" s="4" t="s">
        <v>2004</v>
      </c>
    </row>
    <row r="1564" spans="22:23">
      <c r="V1564" s="4" t="s">
        <v>459</v>
      </c>
      <c r="W1564" s="4" t="s">
        <v>2005</v>
      </c>
    </row>
    <row r="1565" spans="22:23">
      <c r="V1565" s="4" t="s">
        <v>459</v>
      </c>
      <c r="W1565" s="4" t="s">
        <v>2006</v>
      </c>
    </row>
    <row r="1566" spans="22:23">
      <c r="V1566" s="4" t="s">
        <v>459</v>
      </c>
      <c r="W1566" s="4" t="s">
        <v>2007</v>
      </c>
    </row>
    <row r="1567" spans="22:23">
      <c r="V1567" s="4" t="s">
        <v>459</v>
      </c>
      <c r="W1567" s="4" t="s">
        <v>2008</v>
      </c>
    </row>
    <row r="1568" spans="22:23">
      <c r="V1568" s="4" t="s">
        <v>459</v>
      </c>
      <c r="W1568" s="4" t="s">
        <v>2009</v>
      </c>
    </row>
    <row r="1569" spans="22:23">
      <c r="V1569" s="4" t="s">
        <v>459</v>
      </c>
      <c r="W1569" s="4" t="s">
        <v>2010</v>
      </c>
    </row>
    <row r="1570" spans="22:23">
      <c r="V1570" s="4" t="s">
        <v>459</v>
      </c>
      <c r="W1570" s="4" t="s">
        <v>2011</v>
      </c>
    </row>
    <row r="1571" spans="22:23">
      <c r="V1571" s="4" t="s">
        <v>459</v>
      </c>
      <c r="W1571" s="4" t="s">
        <v>2012</v>
      </c>
    </row>
    <row r="1572" spans="22:23">
      <c r="V1572" s="4" t="s">
        <v>459</v>
      </c>
      <c r="W1572" s="4" t="s">
        <v>2013</v>
      </c>
    </row>
    <row r="1573" spans="22:23">
      <c r="V1573" s="4" t="s">
        <v>459</v>
      </c>
      <c r="W1573" s="4" t="s">
        <v>2014</v>
      </c>
    </row>
    <row r="1574" spans="22:23">
      <c r="V1574" s="4" t="s">
        <v>459</v>
      </c>
      <c r="W1574" s="4" t="s">
        <v>2015</v>
      </c>
    </row>
    <row r="1575" spans="22:23">
      <c r="V1575" s="4" t="s">
        <v>459</v>
      </c>
      <c r="W1575" s="4" t="s">
        <v>2016</v>
      </c>
    </row>
    <row r="1576" spans="22:23">
      <c r="V1576" s="4" t="s">
        <v>459</v>
      </c>
      <c r="W1576" s="4" t="s">
        <v>2017</v>
      </c>
    </row>
    <row r="1577" spans="22:23">
      <c r="V1577" s="4" t="s">
        <v>463</v>
      </c>
      <c r="W1577" s="4" t="s">
        <v>2018</v>
      </c>
    </row>
    <row r="1578" spans="22:23">
      <c r="V1578" s="4" t="s">
        <v>463</v>
      </c>
      <c r="W1578" s="4" t="s">
        <v>2019</v>
      </c>
    </row>
    <row r="1579" spans="22:23">
      <c r="V1579" s="4" t="s">
        <v>463</v>
      </c>
      <c r="W1579" s="4" t="s">
        <v>2020</v>
      </c>
    </row>
    <row r="1580" spans="22:23">
      <c r="V1580" s="4" t="s">
        <v>463</v>
      </c>
      <c r="W1580" s="4" t="s">
        <v>2021</v>
      </c>
    </row>
    <row r="1581" spans="22:23">
      <c r="V1581" s="4" t="s">
        <v>463</v>
      </c>
      <c r="W1581" s="4" t="s">
        <v>2022</v>
      </c>
    </row>
    <row r="1582" spans="22:23">
      <c r="V1582" s="4" t="s">
        <v>463</v>
      </c>
      <c r="W1582" s="4" t="s">
        <v>2023</v>
      </c>
    </row>
    <row r="1583" spans="22:23">
      <c r="V1583" s="4" t="s">
        <v>463</v>
      </c>
      <c r="W1583" s="4" t="s">
        <v>2024</v>
      </c>
    </row>
    <row r="1584" spans="22:23">
      <c r="V1584" s="4" t="s">
        <v>463</v>
      </c>
      <c r="W1584" s="4" t="s">
        <v>2025</v>
      </c>
    </row>
    <row r="1585" spans="22:23">
      <c r="V1585" s="4" t="s">
        <v>463</v>
      </c>
      <c r="W1585" s="4" t="s">
        <v>2026</v>
      </c>
    </row>
    <row r="1586" spans="22:23">
      <c r="V1586" s="4" t="s">
        <v>463</v>
      </c>
      <c r="W1586" s="4" t="s">
        <v>2027</v>
      </c>
    </row>
    <row r="1587" spans="22:23">
      <c r="V1587" s="4" t="s">
        <v>463</v>
      </c>
      <c r="W1587" s="4" t="s">
        <v>2028</v>
      </c>
    </row>
    <row r="1588" spans="22:23">
      <c r="V1588" s="4" t="s">
        <v>463</v>
      </c>
      <c r="W1588" s="4" t="s">
        <v>2029</v>
      </c>
    </row>
    <row r="1589" spans="22:23">
      <c r="V1589" s="4" t="s">
        <v>463</v>
      </c>
      <c r="W1589" s="4" t="s">
        <v>2030</v>
      </c>
    </row>
    <row r="1590" spans="22:23">
      <c r="V1590" s="4" t="s">
        <v>463</v>
      </c>
      <c r="W1590" s="4" t="s">
        <v>2031</v>
      </c>
    </row>
    <row r="1591" spans="22:23">
      <c r="V1591" s="4" t="s">
        <v>463</v>
      </c>
      <c r="W1591" s="4" t="s">
        <v>979</v>
      </c>
    </row>
    <row r="1592" spans="22:23">
      <c r="V1592" s="4" t="s">
        <v>463</v>
      </c>
      <c r="W1592" s="4" t="s">
        <v>2032</v>
      </c>
    </row>
    <row r="1593" spans="22:23">
      <c r="V1593" s="4" t="s">
        <v>463</v>
      </c>
      <c r="W1593" s="4" t="s">
        <v>2033</v>
      </c>
    </row>
    <row r="1594" spans="22:23">
      <c r="V1594" s="4" t="s">
        <v>463</v>
      </c>
      <c r="W1594" s="4" t="s">
        <v>2034</v>
      </c>
    </row>
    <row r="1595" spans="22:23">
      <c r="V1595" s="4" t="s">
        <v>463</v>
      </c>
      <c r="W1595" s="4" t="s">
        <v>2035</v>
      </c>
    </row>
    <row r="1596" spans="22:23">
      <c r="V1596" s="4" t="s">
        <v>463</v>
      </c>
      <c r="W1596" s="4" t="s">
        <v>2036</v>
      </c>
    </row>
    <row r="1597" spans="22:23">
      <c r="V1597" s="4" t="s">
        <v>463</v>
      </c>
      <c r="W1597" s="4" t="s">
        <v>2037</v>
      </c>
    </row>
    <row r="1598" spans="22:23">
      <c r="V1598" s="4" t="s">
        <v>463</v>
      </c>
      <c r="W1598" s="4" t="s">
        <v>2038</v>
      </c>
    </row>
    <row r="1599" spans="22:23">
      <c r="V1599" s="4" t="s">
        <v>463</v>
      </c>
      <c r="W1599" s="4" t="s">
        <v>1093</v>
      </c>
    </row>
    <row r="1600" spans="22:23">
      <c r="V1600" s="4" t="s">
        <v>463</v>
      </c>
      <c r="W1600" s="4" t="s">
        <v>2039</v>
      </c>
    </row>
    <row r="1601" spans="22:23">
      <c r="V1601" s="4" t="s">
        <v>463</v>
      </c>
      <c r="W1601" s="4" t="s">
        <v>1544</v>
      </c>
    </row>
    <row r="1602" spans="22:23">
      <c r="V1602" s="4" t="s">
        <v>463</v>
      </c>
      <c r="W1602" s="4" t="s">
        <v>2040</v>
      </c>
    </row>
    <row r="1603" spans="22:23">
      <c r="V1603" s="4" t="s">
        <v>463</v>
      </c>
      <c r="W1603" s="4" t="s">
        <v>2041</v>
      </c>
    </row>
    <row r="1604" spans="22:23">
      <c r="V1604" s="4" t="s">
        <v>463</v>
      </c>
      <c r="W1604" s="4" t="s">
        <v>2042</v>
      </c>
    </row>
    <row r="1605" spans="22:23">
      <c r="V1605" s="4" t="s">
        <v>463</v>
      </c>
      <c r="W1605" s="4" t="s">
        <v>2043</v>
      </c>
    </row>
    <row r="1606" spans="22:23">
      <c r="V1606" s="4" t="s">
        <v>463</v>
      </c>
      <c r="W1606" s="4" t="s">
        <v>2044</v>
      </c>
    </row>
    <row r="1607" spans="22:23">
      <c r="V1607" s="4" t="s">
        <v>463</v>
      </c>
      <c r="W1607" s="4" t="s">
        <v>2045</v>
      </c>
    </row>
    <row r="1608" spans="22:23">
      <c r="V1608" s="4" t="s">
        <v>463</v>
      </c>
      <c r="W1608" s="4" t="s">
        <v>2046</v>
      </c>
    </row>
    <row r="1609" spans="22:23">
      <c r="V1609" s="4" t="s">
        <v>463</v>
      </c>
      <c r="W1609" s="4" t="s">
        <v>2047</v>
      </c>
    </row>
    <row r="1610" spans="22:23">
      <c r="V1610" s="4" t="s">
        <v>463</v>
      </c>
      <c r="W1610" s="4" t="s">
        <v>2048</v>
      </c>
    </row>
    <row r="1611" spans="22:23">
      <c r="V1611" s="4" t="s">
        <v>463</v>
      </c>
      <c r="W1611" s="4" t="s">
        <v>2049</v>
      </c>
    </row>
    <row r="1612" spans="22:23">
      <c r="V1612" s="4" t="s">
        <v>463</v>
      </c>
      <c r="W1612" s="4" t="s">
        <v>2050</v>
      </c>
    </row>
    <row r="1613" spans="22:23">
      <c r="V1613" s="4" t="s">
        <v>463</v>
      </c>
      <c r="W1613" s="4" t="s">
        <v>2051</v>
      </c>
    </row>
    <row r="1614" spans="22:23">
      <c r="V1614" s="4" t="s">
        <v>463</v>
      </c>
      <c r="W1614" s="4" t="s">
        <v>2052</v>
      </c>
    </row>
    <row r="1615" spans="22:23">
      <c r="V1615" s="4" t="s">
        <v>463</v>
      </c>
      <c r="W1615" s="4" t="s">
        <v>2053</v>
      </c>
    </row>
    <row r="1616" spans="22:23">
      <c r="V1616" s="4" t="s">
        <v>463</v>
      </c>
      <c r="W1616" s="4" t="s">
        <v>2054</v>
      </c>
    </row>
    <row r="1617" spans="22:23">
      <c r="V1617" s="4" t="s">
        <v>463</v>
      </c>
      <c r="W1617" s="4" t="s">
        <v>2055</v>
      </c>
    </row>
    <row r="1618" spans="22:23">
      <c r="V1618" s="4" t="s">
        <v>463</v>
      </c>
      <c r="W1618" s="4" t="s">
        <v>2056</v>
      </c>
    </row>
    <row r="1619" spans="22:23">
      <c r="V1619" s="4" t="s">
        <v>463</v>
      </c>
      <c r="W1619" s="4" t="s">
        <v>2057</v>
      </c>
    </row>
    <row r="1620" spans="22:23">
      <c r="V1620" s="4" t="s">
        <v>463</v>
      </c>
      <c r="W1620" s="4" t="s">
        <v>2058</v>
      </c>
    </row>
    <row r="1621" spans="22:23">
      <c r="V1621" s="4" t="s">
        <v>463</v>
      </c>
      <c r="W1621" s="4" t="s">
        <v>2059</v>
      </c>
    </row>
    <row r="1622" spans="22:23">
      <c r="V1622" s="4" t="s">
        <v>467</v>
      </c>
      <c r="W1622" s="4" t="s">
        <v>2060</v>
      </c>
    </row>
    <row r="1623" spans="22:23">
      <c r="V1623" s="4" t="s">
        <v>467</v>
      </c>
      <c r="W1623" s="4" t="s">
        <v>2061</v>
      </c>
    </row>
    <row r="1624" spans="22:23">
      <c r="V1624" s="4" t="s">
        <v>467</v>
      </c>
      <c r="W1624" s="4" t="s">
        <v>2062</v>
      </c>
    </row>
    <row r="1625" spans="22:23">
      <c r="V1625" s="4" t="s">
        <v>467</v>
      </c>
      <c r="W1625" s="4" t="s">
        <v>2063</v>
      </c>
    </row>
    <row r="1626" spans="22:23">
      <c r="V1626" s="4" t="s">
        <v>467</v>
      </c>
      <c r="W1626" s="4" t="s">
        <v>2064</v>
      </c>
    </row>
    <row r="1627" spans="22:23">
      <c r="V1627" s="4" t="s">
        <v>467</v>
      </c>
      <c r="W1627" s="4" t="s">
        <v>2065</v>
      </c>
    </row>
    <row r="1628" spans="22:23">
      <c r="V1628" s="4" t="s">
        <v>467</v>
      </c>
      <c r="W1628" s="4" t="s">
        <v>2066</v>
      </c>
    </row>
    <row r="1629" spans="22:23">
      <c r="V1629" s="4" t="s">
        <v>467</v>
      </c>
      <c r="W1629" s="4" t="s">
        <v>2067</v>
      </c>
    </row>
    <row r="1630" spans="22:23">
      <c r="V1630" s="4" t="s">
        <v>467</v>
      </c>
      <c r="W1630" s="4" t="s">
        <v>2068</v>
      </c>
    </row>
    <row r="1631" spans="22:23">
      <c r="V1631" s="4" t="s">
        <v>467</v>
      </c>
      <c r="W1631" s="4" t="s">
        <v>2069</v>
      </c>
    </row>
    <row r="1632" spans="22:23">
      <c r="V1632" s="4" t="s">
        <v>467</v>
      </c>
      <c r="W1632" s="4" t="s">
        <v>2070</v>
      </c>
    </row>
    <row r="1633" spans="22:23">
      <c r="V1633" s="4" t="s">
        <v>467</v>
      </c>
      <c r="W1633" s="4" t="s">
        <v>2071</v>
      </c>
    </row>
    <row r="1634" spans="22:23">
      <c r="V1634" s="4" t="s">
        <v>467</v>
      </c>
      <c r="W1634" s="4" t="s">
        <v>2072</v>
      </c>
    </row>
    <row r="1635" spans="22:23">
      <c r="V1635" s="4" t="s">
        <v>467</v>
      </c>
      <c r="W1635" s="4" t="s">
        <v>2073</v>
      </c>
    </row>
    <row r="1636" spans="22:23">
      <c r="V1636" s="4" t="s">
        <v>467</v>
      </c>
      <c r="W1636" s="4" t="s">
        <v>2074</v>
      </c>
    </row>
    <row r="1637" spans="22:23">
      <c r="V1637" s="4" t="s">
        <v>467</v>
      </c>
      <c r="W1637" s="4" t="s">
        <v>2075</v>
      </c>
    </row>
    <row r="1638" spans="22:23">
      <c r="V1638" s="4" t="s">
        <v>467</v>
      </c>
      <c r="W1638" s="4" t="s">
        <v>2076</v>
      </c>
    </row>
    <row r="1639" spans="22:23">
      <c r="V1639" s="4" t="s">
        <v>467</v>
      </c>
      <c r="W1639" s="4" t="s">
        <v>2077</v>
      </c>
    </row>
    <row r="1640" spans="22:23">
      <c r="V1640" s="4" t="s">
        <v>471</v>
      </c>
      <c r="W1640" s="4" t="s">
        <v>2078</v>
      </c>
    </row>
    <row r="1641" spans="22:23">
      <c r="V1641" s="4" t="s">
        <v>471</v>
      </c>
      <c r="W1641" s="4" t="s">
        <v>2079</v>
      </c>
    </row>
    <row r="1642" spans="22:23">
      <c r="V1642" s="4" t="s">
        <v>471</v>
      </c>
      <c r="W1642" s="4" t="s">
        <v>2080</v>
      </c>
    </row>
    <row r="1643" spans="22:23">
      <c r="V1643" s="4" t="s">
        <v>471</v>
      </c>
      <c r="W1643" s="4" t="s">
        <v>2081</v>
      </c>
    </row>
    <row r="1644" spans="22:23">
      <c r="V1644" s="4" t="s">
        <v>471</v>
      </c>
      <c r="W1644" s="4" t="s">
        <v>2082</v>
      </c>
    </row>
    <row r="1645" spans="22:23">
      <c r="V1645" s="4" t="s">
        <v>471</v>
      </c>
      <c r="W1645" s="4" t="s">
        <v>2083</v>
      </c>
    </row>
    <row r="1646" spans="22:23">
      <c r="V1646" s="4" t="s">
        <v>471</v>
      </c>
      <c r="W1646" s="4" t="s">
        <v>2084</v>
      </c>
    </row>
    <row r="1647" spans="22:23">
      <c r="V1647" s="4" t="s">
        <v>471</v>
      </c>
      <c r="W1647" s="4" t="s">
        <v>2085</v>
      </c>
    </row>
    <row r="1648" spans="22:23">
      <c r="V1648" s="4" t="s">
        <v>471</v>
      </c>
      <c r="W1648" s="4" t="s">
        <v>2086</v>
      </c>
    </row>
    <row r="1649" spans="22:23">
      <c r="V1649" s="4" t="s">
        <v>471</v>
      </c>
      <c r="W1649" s="4" t="s">
        <v>2087</v>
      </c>
    </row>
    <row r="1650" spans="22:23">
      <c r="V1650" s="4" t="s">
        <v>471</v>
      </c>
      <c r="W1650" s="4" t="s">
        <v>2088</v>
      </c>
    </row>
    <row r="1651" spans="22:23">
      <c r="V1651" s="4" t="s">
        <v>471</v>
      </c>
      <c r="W1651" s="4" t="s">
        <v>2089</v>
      </c>
    </row>
    <row r="1652" spans="22:23">
      <c r="V1652" s="4" t="s">
        <v>471</v>
      </c>
      <c r="W1652" s="4" t="s">
        <v>2090</v>
      </c>
    </row>
    <row r="1653" spans="22:23">
      <c r="V1653" s="4" t="s">
        <v>471</v>
      </c>
      <c r="W1653" s="4" t="s">
        <v>2091</v>
      </c>
    </row>
    <row r="1654" spans="22:23">
      <c r="V1654" s="4" t="s">
        <v>471</v>
      </c>
      <c r="W1654" s="4" t="s">
        <v>2092</v>
      </c>
    </row>
    <row r="1655" spans="22:23">
      <c r="V1655" s="4" t="s">
        <v>471</v>
      </c>
      <c r="W1655" s="4" t="s">
        <v>2093</v>
      </c>
    </row>
    <row r="1656" spans="22:23">
      <c r="V1656" s="4" t="s">
        <v>471</v>
      </c>
      <c r="W1656" s="4" t="s">
        <v>2094</v>
      </c>
    </row>
    <row r="1657" spans="22:23">
      <c r="V1657" s="4" t="s">
        <v>471</v>
      </c>
      <c r="W1657" s="4" t="s">
        <v>2095</v>
      </c>
    </row>
    <row r="1658" spans="22:23">
      <c r="V1658" s="4" t="s">
        <v>471</v>
      </c>
      <c r="W1658" s="4" t="s">
        <v>2096</v>
      </c>
    </row>
    <row r="1659" spans="22:23">
      <c r="V1659" s="4" t="s">
        <v>471</v>
      </c>
      <c r="W1659" s="4" t="s">
        <v>2097</v>
      </c>
    </row>
    <row r="1660" spans="22:23">
      <c r="V1660" s="4" t="s">
        <v>471</v>
      </c>
      <c r="W1660" s="4" t="s">
        <v>2098</v>
      </c>
    </row>
    <row r="1661" spans="22:23">
      <c r="V1661" s="4" t="s">
        <v>471</v>
      </c>
      <c r="W1661" s="4" t="s">
        <v>2099</v>
      </c>
    </row>
    <row r="1662" spans="22:23">
      <c r="V1662" s="4" t="s">
        <v>471</v>
      </c>
      <c r="W1662" s="4" t="s">
        <v>1029</v>
      </c>
    </row>
    <row r="1663" spans="22:23">
      <c r="V1663" s="4" t="s">
        <v>471</v>
      </c>
      <c r="W1663" s="4" t="s">
        <v>2100</v>
      </c>
    </row>
    <row r="1664" spans="22:23">
      <c r="V1664" s="4" t="s">
        <v>471</v>
      </c>
      <c r="W1664" s="4" t="s">
        <v>2101</v>
      </c>
    </row>
    <row r="1665" spans="22:23">
      <c r="V1665" s="4" t="s">
        <v>471</v>
      </c>
      <c r="W1665" s="4" t="s">
        <v>2102</v>
      </c>
    </row>
    <row r="1666" spans="22:23">
      <c r="V1666" s="4" t="s">
        <v>476</v>
      </c>
      <c r="W1666" s="4" t="s">
        <v>2103</v>
      </c>
    </row>
    <row r="1667" spans="22:23">
      <c r="V1667" s="4" t="s">
        <v>476</v>
      </c>
      <c r="W1667" s="4" t="s">
        <v>2104</v>
      </c>
    </row>
    <row r="1668" spans="22:23">
      <c r="V1668" s="4" t="s">
        <v>476</v>
      </c>
      <c r="W1668" s="4" t="s">
        <v>2105</v>
      </c>
    </row>
    <row r="1669" spans="22:23">
      <c r="V1669" s="4" t="s">
        <v>476</v>
      </c>
      <c r="W1669" s="4" t="s">
        <v>2106</v>
      </c>
    </row>
    <row r="1670" spans="22:23">
      <c r="V1670" s="4" t="s">
        <v>476</v>
      </c>
      <c r="W1670" s="4" t="s">
        <v>2107</v>
      </c>
    </row>
    <row r="1671" spans="22:23">
      <c r="V1671" s="4" t="s">
        <v>476</v>
      </c>
      <c r="W1671" s="4" t="s">
        <v>2108</v>
      </c>
    </row>
    <row r="1672" spans="22:23">
      <c r="V1672" s="4" t="s">
        <v>476</v>
      </c>
      <c r="W1672" s="4" t="s">
        <v>2109</v>
      </c>
    </row>
    <row r="1673" spans="22:23">
      <c r="V1673" s="4" t="s">
        <v>476</v>
      </c>
      <c r="W1673" s="4" t="s">
        <v>2110</v>
      </c>
    </row>
    <row r="1674" spans="22:23">
      <c r="V1674" s="4" t="s">
        <v>476</v>
      </c>
      <c r="W1674" s="4" t="s">
        <v>2111</v>
      </c>
    </row>
    <row r="1675" spans="22:23">
      <c r="V1675" s="4" t="s">
        <v>476</v>
      </c>
      <c r="W1675" s="4" t="s">
        <v>2112</v>
      </c>
    </row>
    <row r="1676" spans="22:23">
      <c r="V1676" s="4" t="s">
        <v>476</v>
      </c>
      <c r="W1676" s="4" t="s">
        <v>2113</v>
      </c>
    </row>
    <row r="1677" spans="22:23">
      <c r="V1677" s="4" t="s">
        <v>476</v>
      </c>
      <c r="W1677" s="4" t="s">
        <v>2114</v>
      </c>
    </row>
    <row r="1678" spans="22:23">
      <c r="V1678" s="4" t="s">
        <v>476</v>
      </c>
      <c r="W1678" s="4" t="s">
        <v>2115</v>
      </c>
    </row>
    <row r="1679" spans="22:23">
      <c r="V1679" s="4" t="s">
        <v>476</v>
      </c>
      <c r="W1679" s="4" t="s">
        <v>2116</v>
      </c>
    </row>
    <row r="1680" spans="22:23">
      <c r="V1680" s="4" t="s">
        <v>476</v>
      </c>
      <c r="W1680" s="4" t="s">
        <v>2117</v>
      </c>
    </row>
    <row r="1681" spans="22:23">
      <c r="V1681" s="4" t="s">
        <v>476</v>
      </c>
      <c r="W1681" s="4" t="s">
        <v>2118</v>
      </c>
    </row>
    <row r="1682" spans="22:23">
      <c r="V1682" s="4" t="s">
        <v>476</v>
      </c>
      <c r="W1682" s="4" t="s">
        <v>2119</v>
      </c>
    </row>
    <row r="1683" spans="22:23">
      <c r="V1683" s="4" t="s">
        <v>476</v>
      </c>
      <c r="W1683" s="4" t="s">
        <v>2120</v>
      </c>
    </row>
    <row r="1684" spans="22:23">
      <c r="V1684" s="4" t="s">
        <v>476</v>
      </c>
      <c r="W1684" s="4" t="s">
        <v>2121</v>
      </c>
    </row>
    <row r="1685" spans="22:23">
      <c r="V1685" s="4" t="s">
        <v>476</v>
      </c>
      <c r="W1685" s="4" t="s">
        <v>2122</v>
      </c>
    </row>
    <row r="1686" spans="22:23">
      <c r="V1686" s="4" t="s">
        <v>476</v>
      </c>
      <c r="W1686" s="4" t="s">
        <v>2123</v>
      </c>
    </row>
    <row r="1687" spans="22:23">
      <c r="V1687" s="4" t="s">
        <v>476</v>
      </c>
      <c r="W1687" s="4" t="s">
        <v>2124</v>
      </c>
    </row>
    <row r="1688" spans="22:23">
      <c r="V1688" s="4" t="s">
        <v>476</v>
      </c>
      <c r="W1688" s="4" t="s">
        <v>2125</v>
      </c>
    </row>
    <row r="1689" spans="22:23">
      <c r="V1689" s="4" t="s">
        <v>476</v>
      </c>
      <c r="W1689" s="4" t="s">
        <v>2126</v>
      </c>
    </row>
    <row r="1690" spans="22:23">
      <c r="V1690" s="4" t="s">
        <v>476</v>
      </c>
      <c r="W1690" s="4" t="s">
        <v>2127</v>
      </c>
    </row>
    <row r="1691" spans="22:23">
      <c r="V1691" s="4" t="s">
        <v>476</v>
      </c>
      <c r="W1691" s="4" t="s">
        <v>2128</v>
      </c>
    </row>
    <row r="1692" spans="22:23">
      <c r="V1692" s="4" t="s">
        <v>476</v>
      </c>
      <c r="W1692" s="4" t="s">
        <v>2129</v>
      </c>
    </row>
    <row r="1693" spans="22:23">
      <c r="V1693" s="4" t="s">
        <v>476</v>
      </c>
      <c r="W1693" s="4" t="s">
        <v>2130</v>
      </c>
    </row>
    <row r="1694" spans="22:23">
      <c r="V1694" s="4" t="s">
        <v>476</v>
      </c>
      <c r="W1694" s="4" t="s">
        <v>2131</v>
      </c>
    </row>
    <row r="1695" spans="22:23">
      <c r="V1695" s="4" t="s">
        <v>476</v>
      </c>
      <c r="W1695" s="4" t="s">
        <v>2132</v>
      </c>
    </row>
    <row r="1696" spans="22:23">
      <c r="V1696" s="4" t="s">
        <v>476</v>
      </c>
      <c r="W1696" s="4" t="s">
        <v>2133</v>
      </c>
    </row>
    <row r="1697" spans="22:23">
      <c r="V1697" s="4" t="s">
        <v>476</v>
      </c>
      <c r="W1697" s="4" t="s">
        <v>2134</v>
      </c>
    </row>
    <row r="1698" spans="22:23">
      <c r="V1698" s="4" t="s">
        <v>476</v>
      </c>
      <c r="W1698" s="4" t="s">
        <v>2135</v>
      </c>
    </row>
    <row r="1699" spans="22:23">
      <c r="V1699" s="4" t="s">
        <v>476</v>
      </c>
      <c r="W1699" s="4" t="s">
        <v>2136</v>
      </c>
    </row>
    <row r="1700" spans="22:23">
      <c r="V1700" s="4" t="s">
        <v>476</v>
      </c>
      <c r="W1700" s="4" t="s">
        <v>2137</v>
      </c>
    </row>
    <row r="1701" spans="22:23">
      <c r="V1701" s="4" t="s">
        <v>476</v>
      </c>
      <c r="W1701" s="4" t="s">
        <v>2138</v>
      </c>
    </row>
    <row r="1702" spans="22:23">
      <c r="V1702" s="4" t="s">
        <v>476</v>
      </c>
      <c r="W1702" s="4" t="s">
        <v>2139</v>
      </c>
    </row>
    <row r="1703" spans="22:23">
      <c r="V1703" s="4" t="s">
        <v>476</v>
      </c>
      <c r="W1703" s="4" t="s">
        <v>2140</v>
      </c>
    </row>
    <row r="1704" spans="22:23">
      <c r="V1704" s="4" t="s">
        <v>476</v>
      </c>
      <c r="W1704" s="4" t="s">
        <v>2141</v>
      </c>
    </row>
    <row r="1705" spans="22:23">
      <c r="V1705" s="4" t="s">
        <v>476</v>
      </c>
      <c r="W1705" s="4" t="s">
        <v>2142</v>
      </c>
    </row>
    <row r="1706" spans="22:23">
      <c r="V1706" s="4" t="s">
        <v>476</v>
      </c>
      <c r="W1706" s="4" t="s">
        <v>2143</v>
      </c>
    </row>
    <row r="1707" spans="22:23">
      <c r="V1707" s="4" t="s">
        <v>476</v>
      </c>
      <c r="W1707" s="4" t="s">
        <v>2144</v>
      </c>
    </row>
    <row r="1708" spans="22:23">
      <c r="V1708" s="4" t="s">
        <v>476</v>
      </c>
      <c r="W1708" s="4" t="s">
        <v>2145</v>
      </c>
    </row>
    <row r="1709" spans="22:23">
      <c r="V1709" s="4" t="s">
        <v>479</v>
      </c>
      <c r="W1709" s="4" t="s">
        <v>2146</v>
      </c>
    </row>
    <row r="1710" spans="22:23">
      <c r="V1710" s="4" t="s">
        <v>479</v>
      </c>
      <c r="W1710" s="4" t="s">
        <v>2147</v>
      </c>
    </row>
    <row r="1711" spans="22:23">
      <c r="V1711" s="4" t="s">
        <v>479</v>
      </c>
      <c r="W1711" s="4" t="s">
        <v>2148</v>
      </c>
    </row>
    <row r="1712" spans="22:23">
      <c r="V1712" s="4" t="s">
        <v>479</v>
      </c>
      <c r="W1712" s="4" t="s">
        <v>2149</v>
      </c>
    </row>
    <row r="1713" spans="22:23">
      <c r="V1713" s="4" t="s">
        <v>479</v>
      </c>
      <c r="W1713" s="4" t="s">
        <v>2150</v>
      </c>
    </row>
    <row r="1714" spans="22:23">
      <c r="V1714" s="4" t="s">
        <v>479</v>
      </c>
      <c r="W1714" s="4" t="s">
        <v>2151</v>
      </c>
    </row>
    <row r="1715" spans="22:23">
      <c r="V1715" s="4" t="s">
        <v>479</v>
      </c>
      <c r="W1715" s="4" t="s">
        <v>2152</v>
      </c>
    </row>
    <row r="1716" spans="22:23">
      <c r="V1716" s="4" t="s">
        <v>479</v>
      </c>
      <c r="W1716" s="4" t="s">
        <v>2153</v>
      </c>
    </row>
    <row r="1717" spans="22:23">
      <c r="V1717" s="4" t="s">
        <v>479</v>
      </c>
      <c r="W1717" s="4" t="s">
        <v>2154</v>
      </c>
    </row>
    <row r="1718" spans="22:23">
      <c r="V1718" s="4" t="s">
        <v>479</v>
      </c>
      <c r="W1718" s="4" t="s">
        <v>2155</v>
      </c>
    </row>
    <row r="1719" spans="22:23">
      <c r="V1719" s="4" t="s">
        <v>479</v>
      </c>
      <c r="W1719" s="4" t="s">
        <v>2156</v>
      </c>
    </row>
    <row r="1720" spans="22:23">
      <c r="V1720" s="4" t="s">
        <v>479</v>
      </c>
      <c r="W1720" s="4" t="s">
        <v>2157</v>
      </c>
    </row>
    <row r="1721" spans="22:23">
      <c r="V1721" s="4" t="s">
        <v>479</v>
      </c>
      <c r="W1721" s="4" t="s">
        <v>2158</v>
      </c>
    </row>
    <row r="1722" spans="22:23">
      <c r="V1722" s="4" t="s">
        <v>479</v>
      </c>
      <c r="W1722" s="4" t="s">
        <v>2159</v>
      </c>
    </row>
    <row r="1723" spans="22:23">
      <c r="V1723" s="4" t="s">
        <v>479</v>
      </c>
      <c r="W1723" s="4" t="s">
        <v>2160</v>
      </c>
    </row>
    <row r="1724" spans="22:23">
      <c r="V1724" s="4" t="s">
        <v>479</v>
      </c>
      <c r="W1724" s="4" t="s">
        <v>2161</v>
      </c>
    </row>
    <row r="1725" spans="22:23">
      <c r="V1725" s="4" t="s">
        <v>479</v>
      </c>
      <c r="W1725" s="4" t="s">
        <v>2162</v>
      </c>
    </row>
    <row r="1726" spans="22:23">
      <c r="V1726" s="4" t="s">
        <v>479</v>
      </c>
      <c r="W1726" s="4" t="s">
        <v>2163</v>
      </c>
    </row>
    <row r="1727" spans="22:23">
      <c r="V1727" s="4" t="s">
        <v>479</v>
      </c>
      <c r="W1727" s="4" t="s">
        <v>2164</v>
      </c>
    </row>
    <row r="1728" spans="22:23">
      <c r="V1728" s="4" t="s">
        <v>479</v>
      </c>
      <c r="W1728" s="4" t="s">
        <v>2165</v>
      </c>
    </row>
    <row r="1729" spans="22:23">
      <c r="V1729" s="4" t="s">
        <v>479</v>
      </c>
      <c r="W1729" s="4" t="s">
        <v>2166</v>
      </c>
    </row>
    <row r="1730" spans="22:23">
      <c r="V1730" s="4" t="s">
        <v>479</v>
      </c>
      <c r="W1730" s="4" t="s">
        <v>2167</v>
      </c>
    </row>
    <row r="1731" spans="22:23">
      <c r="V1731" s="4" t="s">
        <v>479</v>
      </c>
      <c r="W1731" s="4" t="s">
        <v>2168</v>
      </c>
    </row>
    <row r="1732" spans="22:23">
      <c r="V1732" s="4" t="s">
        <v>479</v>
      </c>
      <c r="W1732" s="4" t="s">
        <v>2169</v>
      </c>
    </row>
    <row r="1733" spans="22:23">
      <c r="V1733" s="4" t="s">
        <v>479</v>
      </c>
      <c r="W1733" s="4" t="s">
        <v>2170</v>
      </c>
    </row>
    <row r="1734" spans="22:23">
      <c r="V1734" s="4" t="s">
        <v>479</v>
      </c>
      <c r="W1734" s="4" t="s">
        <v>2171</v>
      </c>
    </row>
    <row r="1735" spans="22:23">
      <c r="V1735" s="4" t="s">
        <v>479</v>
      </c>
      <c r="W1735" s="4" t="s">
        <v>2172</v>
      </c>
    </row>
    <row r="1736" spans="22:23">
      <c r="V1736" s="4" t="s">
        <v>479</v>
      </c>
      <c r="W1736" s="4" t="s">
        <v>2173</v>
      </c>
    </row>
    <row r="1737" spans="22:23">
      <c r="V1737" s="4" t="s">
        <v>479</v>
      </c>
      <c r="W1737" s="4" t="s">
        <v>2174</v>
      </c>
    </row>
    <row r="1738" spans="22:23">
      <c r="V1738" s="4" t="s">
        <v>479</v>
      </c>
      <c r="W1738" s="4" t="s">
        <v>2175</v>
      </c>
    </row>
    <row r="1739" spans="22:23">
      <c r="V1739" s="4" t="s">
        <v>479</v>
      </c>
      <c r="W1739" s="4" t="s">
        <v>2176</v>
      </c>
    </row>
    <row r="1740" spans="22:23">
      <c r="V1740" s="4" t="s">
        <v>479</v>
      </c>
      <c r="W1740" s="4" t="s">
        <v>2177</v>
      </c>
    </row>
    <row r="1741" spans="22:23">
      <c r="V1741" s="4" t="s">
        <v>479</v>
      </c>
      <c r="W1741" s="4" t="s">
        <v>2178</v>
      </c>
    </row>
    <row r="1742" spans="22:23">
      <c r="V1742" s="4" t="s">
        <v>479</v>
      </c>
      <c r="W1742" s="4" t="s">
        <v>2179</v>
      </c>
    </row>
    <row r="1743" spans="22:23">
      <c r="V1743" s="4" t="s">
        <v>479</v>
      </c>
      <c r="W1743" s="4" t="s">
        <v>2180</v>
      </c>
    </row>
    <row r="1744" spans="22:23">
      <c r="V1744" s="4" t="s">
        <v>479</v>
      </c>
      <c r="W1744" s="4" t="s">
        <v>2181</v>
      </c>
    </row>
    <row r="1745" spans="22:23">
      <c r="V1745" s="4" t="s">
        <v>479</v>
      </c>
      <c r="W1745" s="4" t="s">
        <v>2182</v>
      </c>
    </row>
    <row r="1746" spans="22:23">
      <c r="V1746" s="4" t="s">
        <v>479</v>
      </c>
      <c r="W1746" s="4" t="s">
        <v>2183</v>
      </c>
    </row>
    <row r="1747" spans="22:23">
      <c r="V1747" s="4" t="s">
        <v>479</v>
      </c>
      <c r="W1747" s="4" t="s">
        <v>2184</v>
      </c>
    </row>
    <row r="1748" spans="22:23">
      <c r="V1748" s="4" t="s">
        <v>479</v>
      </c>
      <c r="W1748" s="4" t="s">
        <v>2185</v>
      </c>
    </row>
    <row r="1749" spans="22:23" ht="14.25" thickBot="1">
      <c r="V1749" s="5" t="s">
        <v>479</v>
      </c>
      <c r="W1749" s="5" t="s">
        <v>2186</v>
      </c>
    </row>
  </sheetData>
  <sheetProtection algorithmName="SHA-512" hashValue="Myuy6RT1jJnPvIZvjbw8zrbbM3K816fLi6i0h7krRw9Lteyfbap4C5W2FrZ+IDH1S5QJBgtSzguFtWafOvi21w==" saltValue="y/Iv5ohvtsM7BuJQacDBpg==" spinCount="100000" sheet="1" objects="1" scenarios="1"/>
  <mergeCells count="12">
    <mergeCell ref="AR51:AU51"/>
    <mergeCell ref="AR52:AU53"/>
    <mergeCell ref="B2:B3"/>
    <mergeCell ref="G2:M2"/>
    <mergeCell ref="A2:A3"/>
    <mergeCell ref="N2:N3"/>
    <mergeCell ref="O2:O3"/>
    <mergeCell ref="C2:F2"/>
    <mergeCell ref="Q2:R2"/>
    <mergeCell ref="AR2:AR4"/>
    <mergeCell ref="AS2:AS4"/>
    <mergeCell ref="AT2:AT4"/>
  </mergeCells>
  <phoneticPr fontId="13"/>
  <pageMargins left="0.75" right="0.75" top="0.73" bottom="0.52" header="0.51200000000000001" footer="0.27"/>
  <pageSetup paperSize="8" scale="98" fitToWidth="0" fitToHeight="0" orientation="landscape" r:id="rId1"/>
  <headerFooter alignWithMargins="0"/>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C01E761D7F10AC4AA5F2ABE28D747455" ma:contentTypeVersion="15" ma:contentTypeDescription="新しいドキュメントを作成します。" ma:contentTypeScope="" ma:versionID="89a38758ab03a3df469da803a981a7bc">
  <xsd:schema xmlns:xsd="http://www.w3.org/2001/XMLSchema" xmlns:xs="http://www.w3.org/2001/XMLSchema" xmlns:p="http://schemas.microsoft.com/office/2006/metadata/properties" xmlns:ns2="3b7b391f-316a-4bc7-a585-b2bcaf106fac" xmlns:ns3="263dbbe5-076b-4606-a03b-9598f5f2f35a" targetNamespace="http://schemas.microsoft.com/office/2006/metadata/properties" ma:root="true" ma:fieldsID="17c9f949478b69d29fbc48a772adbe8c" ns2:_="" ns3:_="">
    <xsd:import namespace="3b7b391f-316a-4bc7-a585-b2bcaf106fac"/>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element ref="ns2:MediaLengthInSecond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b7b391f-316a-4bc7-a585-b2bcaf106fac"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b34faeb6-5c06-48a1-9936-61b343ad2bb4}"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3b7b391f-316a-4bc7-a585-b2bcaf106fac">
      <Terms xmlns="http://schemas.microsoft.com/office/infopath/2007/PartnerControls"/>
    </lcf76f155ced4ddcb4097134ff3c332f>
    <TaxCatchAll xmlns="263dbbe5-076b-4606-a03b-9598f5f2f35a" xsi:nil="true"/>
    <Owner xmlns="3b7b391f-316a-4bc7-a585-b2bcaf106fac">
      <UserInfo>
        <DisplayName/>
        <AccountId xsi:nil="true"/>
        <AccountType/>
      </UserInfo>
    </Owner>
  </documentManagement>
</p:properties>
</file>

<file path=customXml/itemProps1.xml><?xml version="1.0" encoding="utf-8"?>
<ds:datastoreItem xmlns:ds="http://schemas.openxmlformats.org/officeDocument/2006/customXml" ds:itemID="{B293E00C-19D3-4183-B17F-8D16ECF45F62}">
  <ds:schemaRefs>
    <ds:schemaRef ds:uri="http://schemas.microsoft.com/sharepoint/v3/contenttype/forms"/>
  </ds:schemaRefs>
</ds:datastoreItem>
</file>

<file path=customXml/itemProps2.xml><?xml version="1.0" encoding="utf-8"?>
<ds:datastoreItem xmlns:ds="http://schemas.openxmlformats.org/officeDocument/2006/customXml" ds:itemID="{0B39AA86-D978-4412-A0DC-C5D02E327C6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b7b391f-316a-4bc7-a585-b2bcaf106fac"/>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A5713DF-67F2-421A-B467-23CE57B6BF52}">
  <ds:schemaRefs>
    <ds:schemaRef ds:uri="http://www.w3.org/XML/1998/namespace"/>
    <ds:schemaRef ds:uri="http://schemas.microsoft.com/office/2006/metadata/properties"/>
    <ds:schemaRef ds:uri="http://purl.org/dc/elements/1.1/"/>
    <ds:schemaRef ds:uri="http://purl.org/dc/dcmitype/"/>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3b7b391f-316a-4bc7-a585-b2bcaf106fac"/>
    <ds:schemaRef ds:uri="http://purl.org/dc/terms/"/>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6</vt:i4>
      </vt:variant>
      <vt:variant>
        <vt:lpstr>名前付き一覧</vt:lpstr>
      </vt:variant>
      <vt:variant>
        <vt:i4>228</vt:i4>
      </vt:variant>
    </vt:vector>
  </HeadingPairs>
  <TitlesOfParts>
    <vt:vector size="234" baseType="lpstr">
      <vt:lpstr>基本情報入力シート</vt:lpstr>
      <vt:lpstr>別紙様式2-1 （総括表）</vt:lpstr>
      <vt:lpstr>別紙様式2-2（個票（４、５月））</vt:lpstr>
      <vt:lpstr>別紙様式2-3（個票（６月以降））</vt:lpstr>
      <vt:lpstr>参考（キャリアパス要件概要及びキャリアパス・賃金既定例）</vt:lpstr>
      <vt:lpstr>【参考】数式用</vt:lpstr>
      <vt:lpstr>基本情報入力シート!Print_Area</vt:lpstr>
      <vt:lpstr>'参考（キャリアパス要件概要及びキャリアパス・賃金既定例）'!Print_Area</vt:lpstr>
      <vt:lpstr>'別紙様式2-1 （総括表）'!Print_Area</vt:lpstr>
      <vt:lpstr>'別紙様式2-2（個票（４、５月））'!Print_Area</vt:lpstr>
      <vt:lpstr>'別紙様式2-3（個票（６月以降））'!Print_Area</vt:lpstr>
      <vt:lpstr>'別紙様式2-2（個票（４、５月））'!Print_Titles</vt:lpstr>
      <vt:lpstr>'別紙様式2-3（個票（６月以降））'!Print_Titles</vt:lpstr>
      <vt:lpstr>キャリアパス要件Ⅰ・Ⅱ_加算対象</vt:lpstr>
      <vt:lpstr>キャリアパス要件Ⅰ・Ⅱ_加算対象外</vt:lpstr>
      <vt:lpstr>愛知県</vt:lpstr>
      <vt:lpstr>愛媛県</vt:lpstr>
      <vt:lpstr>医療型児童発達支援R8</vt:lpstr>
      <vt:lpstr>医療型児童発達支援V</vt:lpstr>
      <vt:lpstr>医療型障害児入所施設R8</vt:lpstr>
      <vt:lpstr>医療型障害児入所施設V</vt:lpstr>
      <vt:lpstr>茨城県</vt:lpstr>
      <vt:lpstr>岡山県</vt:lpstr>
      <vt:lpstr>沖縄県</vt:lpstr>
      <vt:lpstr>加算対象</vt:lpstr>
      <vt:lpstr>加算対象外</vt:lpstr>
      <vt:lpstr>介護医療院サービスⅤ</vt:lpstr>
      <vt:lpstr>介護医療院サービスR8</vt:lpstr>
      <vt:lpstr>介護予防ケアマネジメントR8</vt:lpstr>
      <vt:lpstr>介護予防支援R8</vt:lpstr>
      <vt:lpstr>介護予防小規模多機能型居宅介護_短期利用型_Ⅴ</vt:lpstr>
      <vt:lpstr>介護予防小規模多機能型居宅介護_短期利用型_R8</vt:lpstr>
      <vt:lpstr>介護予防小規模多機能型居宅介護Ⅴ</vt:lpstr>
      <vt:lpstr>介護予防小規模多機能型居宅介護R8</vt:lpstr>
      <vt:lpstr>介護予防短期入所生活介護Ⅴ</vt:lpstr>
      <vt:lpstr>介護予防短期入所生活介護R8</vt:lpstr>
      <vt:lpstr>介護予防短期入所療養介護__病院等_老健以外__Ⅴ</vt:lpstr>
      <vt:lpstr>介護予防短期入所療養介護__病院等_老健以外__R8</vt:lpstr>
      <vt:lpstr>介護予防短期入所療養介護_介護医療院_Ⅴ</vt:lpstr>
      <vt:lpstr>介護予防短期入所療養介護_介護医療院_R8</vt:lpstr>
      <vt:lpstr>介護予防短期入所療養介護_介護老人保健施設_Ⅴ</vt:lpstr>
      <vt:lpstr>介護予防短期入所療養介護_介護老人保健施設_R8</vt:lpstr>
      <vt:lpstr>介護予防通所リハビリテーションⅤ</vt:lpstr>
      <vt:lpstr>介護予防通所リハビリテーションR8</vt:lpstr>
      <vt:lpstr>介護予防特定施設入居者生活介護Ⅴ</vt:lpstr>
      <vt:lpstr>介護予防特定施設入居者生活介護R8</vt:lpstr>
      <vt:lpstr>介護予防認知症対応型共同生活介護_短期利用型_Ⅴ</vt:lpstr>
      <vt:lpstr>介護予防認知症対応型共同生活介護_短期利用型_R8</vt:lpstr>
      <vt:lpstr>介護予防認知症対応型共同生活介護Ⅴ</vt:lpstr>
      <vt:lpstr>介護予防認知症対応型共同生活介護R8</vt:lpstr>
      <vt:lpstr>介護予防認知症対応型通所介護Ⅴ</vt:lpstr>
      <vt:lpstr>介護予防認知症対応型通所介護R8</vt:lpstr>
      <vt:lpstr>介護予防訪問リハビリテーションR8</vt:lpstr>
      <vt:lpstr>介護予防訪問看護R8</vt:lpstr>
      <vt:lpstr>介護予防訪問入浴介護Ⅴ</vt:lpstr>
      <vt:lpstr>介護予防訪問入浴介護R8</vt:lpstr>
      <vt:lpstr>介護老人福祉施設サービスⅤ</vt:lpstr>
      <vt:lpstr>介護老人福祉施設サービスR8</vt:lpstr>
      <vt:lpstr>介護老人保健施設サービスⅤ</vt:lpstr>
      <vt:lpstr>介護老人保健施設サービスR8</vt:lpstr>
      <vt:lpstr>岩手県</vt:lpstr>
      <vt:lpstr>岐阜県</vt:lpstr>
      <vt:lpstr>宮崎県</vt:lpstr>
      <vt:lpstr>宮城県</vt:lpstr>
      <vt:lpstr>居宅介護Ⅴ</vt:lpstr>
      <vt:lpstr>居宅介護R8</vt:lpstr>
      <vt:lpstr>居宅介護支援R8</vt:lpstr>
      <vt:lpstr>居宅訪問型児童発達支援R8</vt:lpstr>
      <vt:lpstr>居宅訪問型児童発達支援V</vt:lpstr>
      <vt:lpstr>京都府</vt:lpstr>
      <vt:lpstr>共同生活援助_介護サービス包括型_R8</vt:lpstr>
      <vt:lpstr>共同生活援助_介護サービス包括型_V</vt:lpstr>
      <vt:lpstr>共同生活援助_外部サービス利用型_R8</vt:lpstr>
      <vt:lpstr>共同生活援助_外部サービス利用型_V</vt:lpstr>
      <vt:lpstr>共同生活援助_日中サービス支援型_R8</vt:lpstr>
      <vt:lpstr>共同生活援助_日中サービス支援型_V</vt:lpstr>
      <vt:lpstr>熊本県</vt:lpstr>
      <vt:lpstr>群馬県</vt:lpstr>
      <vt:lpstr>計画相談支援R8</vt:lpstr>
      <vt:lpstr>広島県</vt:lpstr>
      <vt:lpstr>行動援護R8</vt:lpstr>
      <vt:lpstr>行動援護V</vt:lpstr>
      <vt:lpstr>香川県</vt:lpstr>
      <vt:lpstr>高知県</vt:lpstr>
      <vt:lpstr>佐賀県</vt:lpstr>
      <vt:lpstr>埼玉県</vt:lpstr>
      <vt:lpstr>三重県</vt:lpstr>
      <vt:lpstr>山形県</vt:lpstr>
      <vt:lpstr>山口県</vt:lpstr>
      <vt:lpstr>山梨県</vt:lpstr>
      <vt:lpstr>施設入所支援R8</vt:lpstr>
      <vt:lpstr>施設入所支援V</vt:lpstr>
      <vt:lpstr>児童発達支援R8</vt:lpstr>
      <vt:lpstr>児童発達支援V</vt:lpstr>
      <vt:lpstr>滋賀県</vt:lpstr>
      <vt:lpstr>自立訓練_機能訓練_R8</vt:lpstr>
      <vt:lpstr>自立訓練_機能訓練_V</vt:lpstr>
      <vt:lpstr>自立訓練_生活訓練_R8</vt:lpstr>
      <vt:lpstr>自立訓練_生活訓練_V</vt:lpstr>
      <vt:lpstr>自立生活援助R8</vt:lpstr>
      <vt:lpstr>自立生活援助V</vt:lpstr>
      <vt:lpstr>鹿児島県</vt:lpstr>
      <vt:lpstr>就労移行支援_養成施設_R8</vt:lpstr>
      <vt:lpstr>就労移行支援_養成施設_V</vt:lpstr>
      <vt:lpstr>就労移行支援R8</vt:lpstr>
      <vt:lpstr>就労移行支援V</vt:lpstr>
      <vt:lpstr>就労継続支援Ａ型R8</vt:lpstr>
      <vt:lpstr>就労継続支援Ａ型V</vt:lpstr>
      <vt:lpstr>就労継続支援Ｂ型R8</vt:lpstr>
      <vt:lpstr>就労継続支援Ｂ型V</vt:lpstr>
      <vt:lpstr>就労選択支援R8</vt:lpstr>
      <vt:lpstr>就労選択支援V</vt:lpstr>
      <vt:lpstr>就労定着支援R8</vt:lpstr>
      <vt:lpstr>就労定着支援V</vt:lpstr>
      <vt:lpstr>秋田県</vt:lpstr>
      <vt:lpstr>重度障害者等包括支援R8</vt:lpstr>
      <vt:lpstr>重度障害者等包括支援V</vt:lpstr>
      <vt:lpstr>重度訪問介護R8</vt:lpstr>
      <vt:lpstr>重度訪問介護V</vt:lpstr>
      <vt:lpstr>宿泊型自立訓練R8</vt:lpstr>
      <vt:lpstr>宿泊型自立訓練V</vt:lpstr>
      <vt:lpstr>小規模多機能型居宅介護_短期利用型_Ⅴ</vt:lpstr>
      <vt:lpstr>小規模多機能型居宅介護_短期利用型_R8</vt:lpstr>
      <vt:lpstr>小規模多機能型居宅介護Ⅴ</vt:lpstr>
      <vt:lpstr>小規模多機能型居宅介護R8</vt:lpstr>
      <vt:lpstr>障害児相談支援R8</vt:lpstr>
      <vt:lpstr>障害者支援施設_自立訓練_機能訓練_R8</vt:lpstr>
      <vt:lpstr>障害者支援施設_自立訓練_機能訓練_V</vt:lpstr>
      <vt:lpstr>障害者支援施設_自立訓練_生活訓練_R8</vt:lpstr>
      <vt:lpstr>障害者支援施設_自立訓練_生活訓練_V</vt:lpstr>
      <vt:lpstr>障害者支援施設_就労移行支援R8</vt:lpstr>
      <vt:lpstr>障害者支援施設_就労移行支援V</vt:lpstr>
      <vt:lpstr>障害者支援施設_就労継続支援Ａ型R8</vt:lpstr>
      <vt:lpstr>障害者支援施設_就労継続支援Ａ型V</vt:lpstr>
      <vt:lpstr>障害者支援施設_就労継続支援Ｂ型R8</vt:lpstr>
      <vt:lpstr>障害者支援施設_就労継続支援Ｂ型V</vt:lpstr>
      <vt:lpstr>障害者支援施設_生活介護R8</vt:lpstr>
      <vt:lpstr>障害者支援施設_生活介護V</vt:lpstr>
      <vt:lpstr>新潟県</vt:lpstr>
      <vt:lpstr>神奈川県</vt:lpstr>
      <vt:lpstr>生活介護R8</vt:lpstr>
      <vt:lpstr>生活介護V</vt:lpstr>
      <vt:lpstr>青森県</vt:lpstr>
      <vt:lpstr>静岡県</vt:lpstr>
      <vt:lpstr>石川県</vt:lpstr>
      <vt:lpstr>千葉県</vt:lpstr>
      <vt:lpstr>大阪府</vt:lpstr>
      <vt:lpstr>大分県</vt:lpstr>
      <vt:lpstr>短期入所R8</vt:lpstr>
      <vt:lpstr>短期入所V</vt:lpstr>
      <vt:lpstr>短期入所生活介護Ⅴ</vt:lpstr>
      <vt:lpstr>短期入所生活介護R8</vt:lpstr>
      <vt:lpstr>短期入所療養介護__病院等_老健以外__Ⅴ</vt:lpstr>
      <vt:lpstr>短期入所療養介護__病院等_老健以外__R8</vt:lpstr>
      <vt:lpstr>短期入所療養介護_介護医療院_Ⅴ</vt:lpstr>
      <vt:lpstr>短期入所療養介護_介護医療院_R8</vt:lpstr>
      <vt:lpstr>短期入所療養介護_介護老人保健施設_Ⅴ</vt:lpstr>
      <vt:lpstr>短期入所療養介護_介護老人保健施設_R8</vt:lpstr>
      <vt:lpstr>地域相談支援_地域移行支援_R8</vt:lpstr>
      <vt:lpstr>地域相談支援_地域定着支援_R8</vt:lpstr>
      <vt:lpstr>地域密着型介護老人福祉施設Ⅴ</vt:lpstr>
      <vt:lpstr>地域密着型介護老人福祉施設R8</vt:lpstr>
      <vt:lpstr>地域密着型通所介護Ⅴ</vt:lpstr>
      <vt:lpstr>地域密着型通所介護R8</vt:lpstr>
      <vt:lpstr>地域密着型特定施設入居者生活介護_短期利用型_Ⅴ</vt:lpstr>
      <vt:lpstr>地域密着型特定施設入居者生活介護_短期利用型_R8</vt:lpstr>
      <vt:lpstr>地域密着型特定施設入居者生活介護Ⅴ</vt:lpstr>
      <vt:lpstr>地域密着型特定施設入居者生活介護R8</vt:lpstr>
      <vt:lpstr>長崎県</vt:lpstr>
      <vt:lpstr>長野県</vt:lpstr>
      <vt:lpstr>鳥取県</vt:lpstr>
      <vt:lpstr>通所リハビリテーションⅤ</vt:lpstr>
      <vt:lpstr>通所リハビリテーションR8</vt:lpstr>
      <vt:lpstr>通所介護Ⅴ</vt:lpstr>
      <vt:lpstr>通所介護R8</vt:lpstr>
      <vt:lpstr>通所型サービス_独自_Ⅴ</vt:lpstr>
      <vt:lpstr>通所型サービス_独自_R8</vt:lpstr>
      <vt:lpstr>通所型サービス_独自_定額_Ⅴ</vt:lpstr>
      <vt:lpstr>通所型サービス_独自_定額_R8</vt:lpstr>
      <vt:lpstr>通所型サービス_独自_定率_Ⅴ</vt:lpstr>
      <vt:lpstr>通所型サービス_独自_定率_R8</vt:lpstr>
      <vt:lpstr>定期巡回・随時対応型訪問介護看護Ⅴ</vt:lpstr>
      <vt:lpstr>定期巡回・随時対応型訪問介護看護R8</vt:lpstr>
      <vt:lpstr>都道府県</vt:lpstr>
      <vt:lpstr>島根県</vt:lpstr>
      <vt:lpstr>東京都</vt:lpstr>
      <vt:lpstr>同行援護R8</vt:lpstr>
      <vt:lpstr>同行援護V</vt:lpstr>
      <vt:lpstr>徳島県</vt:lpstr>
      <vt:lpstr>特定施設入居者生活介護_短期利用型_Ⅴ</vt:lpstr>
      <vt:lpstr>特定施設入居者生活介護_短期利用型_R8</vt:lpstr>
      <vt:lpstr>特定施設入居者生活介護Ⅴ</vt:lpstr>
      <vt:lpstr>特定施設入居者生活介護R8</vt:lpstr>
      <vt:lpstr>栃木県</vt:lpstr>
      <vt:lpstr>奈良県</vt:lpstr>
      <vt:lpstr>認知症対応型共同生活介護_短期利用型_Ⅴ</vt:lpstr>
      <vt:lpstr>認知症対応型共同生活介護_短期利用型_R8</vt:lpstr>
      <vt:lpstr>認知症対応型共同生活介護Ⅴ</vt:lpstr>
      <vt:lpstr>認知症対応型共同生活介護R8</vt:lpstr>
      <vt:lpstr>認知症対応型通所介護Ⅴ</vt:lpstr>
      <vt:lpstr>認知症対応型通所介護R8</vt:lpstr>
      <vt:lpstr>富山県</vt:lpstr>
      <vt:lpstr>福井県</vt:lpstr>
      <vt:lpstr>福岡県</vt:lpstr>
      <vt:lpstr>福祉型障害児入所施設R8</vt:lpstr>
      <vt:lpstr>福祉型障害児入所施設V</vt:lpstr>
      <vt:lpstr>福島県</vt:lpstr>
      <vt:lpstr>複合型サービス_看護小規模多機能型居宅介護_Ⅴ</vt:lpstr>
      <vt:lpstr>複合型サービス_看護小規模多機能型居宅介護_R8</vt:lpstr>
      <vt:lpstr>複合型サービス_看護小規模多機能型居宅介護・短期利用型_Ⅴ</vt:lpstr>
      <vt:lpstr>複合型サービス_看護小規模多機能型居宅介護・短期利用型_R8</vt:lpstr>
      <vt:lpstr>兵庫県</vt:lpstr>
      <vt:lpstr>保育所等訪問支援R8</vt:lpstr>
      <vt:lpstr>保育所等訪問支援V</vt:lpstr>
      <vt:lpstr>放課後等デイサービスR8</vt:lpstr>
      <vt:lpstr>放課後等デイサービスV</vt:lpstr>
      <vt:lpstr>訪問リハビリテーションR8</vt:lpstr>
      <vt:lpstr>訪問介護Ⅴ</vt:lpstr>
      <vt:lpstr>訪問介護R8</vt:lpstr>
      <vt:lpstr>訪問看護R8</vt:lpstr>
      <vt:lpstr>訪問型サービス_独自_Ⅴ</vt:lpstr>
      <vt:lpstr>訪問型サービス_独自_R8</vt:lpstr>
      <vt:lpstr>訪問型サービス_独自_定額_Ⅴ</vt:lpstr>
      <vt:lpstr>訪問型サービス_独自_定額_R8</vt:lpstr>
      <vt:lpstr>訪問型サービス_独自_定率_Ⅴ</vt:lpstr>
      <vt:lpstr>訪問型サービス_独自_定率_R8</vt:lpstr>
      <vt:lpstr>訪問入浴介護Ⅴ</vt:lpstr>
      <vt:lpstr>訪問入浴介護R8</vt:lpstr>
      <vt:lpstr>北海道</vt:lpstr>
      <vt:lpstr>夜間対応型訪問介護Ⅴ</vt:lpstr>
      <vt:lpstr>夜間対応型訪問介護R8</vt:lpstr>
      <vt:lpstr>療養介護R8</vt:lpstr>
      <vt:lpstr>療養介護V</vt:lpstr>
      <vt:lpstr>和歌山県</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2025-02-07T02:19:29Z</dcterms:created>
  <dcterms:modified xsi:type="dcterms:W3CDTF">2026-07-30T10:38:58Z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0x010100C01E761D7F10AC4AA5F2ABE28D747455</vt:lpwstr>
  </property>
</Properties>
</file>